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05" windowHeight="6435" tabRatio="750" firstSheet="8" activeTab="12"/>
  </bookViews>
  <sheets>
    <sheet name="ENERO-15" sheetId="1" r:id="rId1"/>
    <sheet name="FEBRERO-15" sheetId="2" r:id="rId2"/>
    <sheet name="MARZO-15" sheetId="3" r:id="rId3"/>
    <sheet name="ABRIL-15" sheetId="4" r:id="rId4"/>
    <sheet name="MAYO-15" sheetId="5" r:id="rId5"/>
    <sheet name="JUNIO-15" sheetId="6" r:id="rId6"/>
    <sheet name="JULIO-15" sheetId="7" r:id="rId7"/>
    <sheet name="AGOSTO-15" sheetId="8" r:id="rId8"/>
    <sheet name="SETIEMBRE-15" sheetId="9" r:id="rId9"/>
    <sheet name="OCTUBRE-15" sheetId="10" r:id="rId10"/>
    <sheet name="NOVIEMBRE-15" sheetId="11" r:id="rId11"/>
    <sheet name="DICIEMBRE 2015" sheetId="12" r:id="rId12"/>
    <sheet name="RESUMEN" sheetId="13" r:id="rId13"/>
    <sheet name="RESUMEN (2)" sheetId="14" r:id="rId14"/>
  </sheets>
  <definedNames/>
  <calcPr fullCalcOnLoad="1"/>
</workbook>
</file>

<file path=xl/comments13.xml><?xml version="1.0" encoding="utf-8"?>
<comments xmlns="http://schemas.openxmlformats.org/spreadsheetml/2006/main">
  <authors>
    <author>Autor</author>
  </authors>
  <commentList>
    <comment ref="D9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 REACTIVOS QUIMICOS, RIESGO DE CAJA , FERIADOS, 
</t>
        </r>
      </text>
    </comment>
    <comment ref="K9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Turno Amanecida, movilidad, Devolución y Bonificacion</t>
        </r>
      </text>
    </comment>
  </commentList>
</comments>
</file>

<file path=xl/comments14.xml><?xml version="1.0" encoding="utf-8"?>
<comments xmlns="http://schemas.openxmlformats.org/spreadsheetml/2006/main">
  <authors>
    <author>Autor</author>
  </authors>
  <commentList>
    <comment ref="O5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PARA PLANIFICACION</t>
        </r>
      </text>
    </comment>
    <comment ref="P5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PARA PDT</t>
        </r>
      </text>
    </comment>
    <comment ref="F6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 REACTIVOS QUIMICOS, RIESGO DE CAJA , FERIADOS, 
</t>
        </r>
      </text>
    </comment>
    <comment ref="M6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Turno Amanecida, movilidad, Devolución y Bonificacion</t>
        </r>
      </text>
    </comment>
  </commentList>
</comments>
</file>

<file path=xl/sharedStrings.xml><?xml version="1.0" encoding="utf-8"?>
<sst xmlns="http://schemas.openxmlformats.org/spreadsheetml/2006/main" count="438" uniqueCount="64">
  <si>
    <t>Ihuaraqui Murayari Darvin</t>
  </si>
  <si>
    <t>Tangoa Torres Eliseo</t>
  </si>
  <si>
    <t>Tamani Pacaya Raúl</t>
  </si>
  <si>
    <t>Gamboa de la Cruz Alejandro</t>
  </si>
  <si>
    <t>Diaz Ramirez Artemio</t>
  </si>
  <si>
    <t>Huayunga Canayo Carlos</t>
  </si>
  <si>
    <t>Integra</t>
  </si>
  <si>
    <t>Shapiama Souza Charles R.</t>
  </si>
  <si>
    <t>Profuturo</t>
  </si>
  <si>
    <t>ProFuturo</t>
  </si>
  <si>
    <t>SNP</t>
  </si>
  <si>
    <t>Ihuaraqui Macuyama Llenrinson</t>
  </si>
  <si>
    <t>Chisquipama Yuimachi Oxman</t>
  </si>
  <si>
    <t>Murayari Lozano Samuel</t>
  </si>
  <si>
    <t>Natorce Carihua Marlon</t>
  </si>
  <si>
    <t>Vasquez López Daniel</t>
  </si>
  <si>
    <t>Pensionist</t>
  </si>
  <si>
    <t>Zumaeta Vergara Carlos Marcelo</t>
  </si>
  <si>
    <t>Gamboa DeLa Cruz Alejandro</t>
  </si>
  <si>
    <t>Shapiama Souza Charles Ray</t>
  </si>
  <si>
    <t>Navarro Macedo Alberto</t>
  </si>
  <si>
    <t>Chisquipama Yuimachi Oxman F.</t>
  </si>
  <si>
    <t>Ihuaraqui Macuyama Llerinson</t>
  </si>
  <si>
    <t>Zumaeta Vergara Carlos M.</t>
  </si>
  <si>
    <t>Ihuaraqui Macuyama Ll.</t>
  </si>
  <si>
    <t>*</t>
  </si>
  <si>
    <t>Chavez Suarez Danny</t>
  </si>
  <si>
    <t>Hvaitat</t>
  </si>
  <si>
    <t>·DICIEMBRE/15</t>
  </si>
  <si>
    <t xml:space="preserve"> </t>
  </si>
  <si>
    <t>NIVELES</t>
  </si>
  <si>
    <t>5TA. CATEG.</t>
  </si>
  <si>
    <t>ESSALUD VIDA</t>
  </si>
  <si>
    <t>HOJA DETALLADA</t>
  </si>
  <si>
    <t>TOTAL BRUTO</t>
  </si>
  <si>
    <t>APORTE PATRONAL</t>
  </si>
  <si>
    <t>TOTAL GENERAL</t>
  </si>
  <si>
    <t>Básico</t>
  </si>
  <si>
    <t>Bonific.</t>
  </si>
  <si>
    <t>Reintegro de Asignación Familiar</t>
  </si>
  <si>
    <t>INC AFP 10.23%</t>
  </si>
  <si>
    <t>INC AFP 3%- ONP 3.3%</t>
  </si>
  <si>
    <t>Gratificacion</t>
  </si>
  <si>
    <t>Asignac. Vacacional</t>
  </si>
  <si>
    <t>Liquidaciones</t>
  </si>
  <si>
    <t>Conceptos no afecto</t>
  </si>
  <si>
    <t xml:space="preserve">Otros (Encargatura, Comp. Vacaciones) </t>
  </si>
  <si>
    <t>EsSalud</t>
  </si>
  <si>
    <t>SCTR</t>
  </si>
  <si>
    <t>Total Aporte</t>
  </si>
  <si>
    <t>Basico</t>
  </si>
  <si>
    <t>Bonificación</t>
  </si>
  <si>
    <t>TOTAL BRUTO AFECTO</t>
  </si>
  <si>
    <t>EMPLEADOS ESTABLES</t>
  </si>
  <si>
    <t>Funcionario</t>
  </si>
  <si>
    <t>Administrativo</t>
  </si>
  <si>
    <t>OBREROS ESTABLES</t>
  </si>
  <si>
    <t>Operarios</t>
  </si>
  <si>
    <t>EMPLEADOS CONTRATADOS</t>
  </si>
  <si>
    <t>Administrativos</t>
  </si>
  <si>
    <t>OBREROS CONTRATADOS</t>
  </si>
  <si>
    <t>RESUMEN DE LAS REMUNERACIONES - 2015</t>
  </si>
  <si>
    <t>ADMINISTRACIÓN ZONAL DE REQUENA</t>
  </si>
  <si>
    <t>TOTAL</t>
  </si>
</sst>
</file>

<file path=xl/styles.xml><?xml version="1.0" encoding="utf-8"?>
<styleSheet xmlns="http://schemas.openxmlformats.org/spreadsheetml/2006/main">
  <numFmts count="6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/.&quot;\ #,##0_);\(&quot;S/.&quot;\ #,##0\)"/>
    <numFmt numFmtId="171" formatCode="&quot;S/.&quot;\ #,##0_);[Red]\(&quot;S/.&quot;\ #,##0\)"/>
    <numFmt numFmtId="172" formatCode="&quot;S/.&quot;\ #,##0.00_);\(&quot;S/.&quot;\ #,##0.00\)"/>
    <numFmt numFmtId="173" formatCode="&quot;S/.&quot;\ #,##0.00_);[Red]\(&quot;S/.&quot;\ #,##0.00\)"/>
    <numFmt numFmtId="174" formatCode="_(&quot;S/.&quot;\ * #,##0_);_(&quot;S/.&quot;\ * \(#,##0\);_(&quot;S/.&quot;\ * &quot;-&quot;_);_(@_)"/>
    <numFmt numFmtId="175" formatCode="_(* #,##0_);_(* \(#,##0\);_(* &quot;-&quot;_);_(@_)"/>
    <numFmt numFmtId="176" formatCode="_(&quot;S/.&quot;\ * #,##0.00_);_(&quot;S/.&quot;\ * \(#,##0.00\);_(&quot;S/.&quot;\ * &quot;-&quot;??_);_(@_)"/>
    <numFmt numFmtId="177" formatCode="_(* #,##0.00_);_(* \(#,##0.00\);_(* &quot;-&quot;??_);_(@_)"/>
    <numFmt numFmtId="178" formatCode="&quot;€&quot;#,##0;&quot;€&quot;\-#,##0"/>
    <numFmt numFmtId="179" formatCode="&quot;€&quot;#,##0;[Red]&quot;€&quot;\-#,##0"/>
    <numFmt numFmtId="180" formatCode="&quot;€&quot;#,##0.00;&quot;€&quot;\-#,##0.00"/>
    <numFmt numFmtId="181" formatCode="&quot;€&quot;#,##0.00;[Red]&quot;€&quot;\-#,##0.00"/>
    <numFmt numFmtId="182" formatCode="_ &quot;€&quot;* #,##0_ ;_ &quot;€&quot;* \-#,##0_ ;_ &quot;€&quot;* &quot;-&quot;_ ;_ @_ "/>
    <numFmt numFmtId="183" formatCode="_ &quot;€&quot;* #,##0.00_ ;_ &quot;€&quot;* \-#,##0.00_ ;_ &quot;€&quot;* &quot;-&quot;??_ ;_ @_ "/>
    <numFmt numFmtId="184" formatCode="&quot;$&quot;\ #,##0;&quot;$&quot;\ \-#,##0"/>
    <numFmt numFmtId="185" formatCode="&quot;$&quot;\ #,##0;[Red]&quot;$&quot;\ \-#,##0"/>
    <numFmt numFmtId="186" formatCode="&quot;$&quot;\ #,##0.00;&quot;$&quot;\ \-#,##0.00"/>
    <numFmt numFmtId="187" formatCode="&quot;$&quot;\ #,##0.00;[Red]&quot;$&quot;\ \-#,##0.00"/>
    <numFmt numFmtId="188" formatCode="_ &quot;$&quot;\ * #,##0_ ;_ &quot;$&quot;\ * \-#,##0_ ;_ &quot;$&quot;\ * &quot;-&quot;_ ;_ @_ "/>
    <numFmt numFmtId="189" formatCode="_ &quot;$&quot;\ * #,##0.00_ ;_ &quot;$&quot;\ * \-#,##0.00_ ;_ &quot;$&quot;\ * &quot;-&quot;??_ ;_ @_ 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&quot;S/&quot;#,##0;&quot;S/&quot;\-#,##0"/>
    <numFmt numFmtId="207" formatCode="&quot;S/&quot;#,##0;[Red]&quot;S/&quot;\-#,##0"/>
    <numFmt numFmtId="208" formatCode="&quot;S/&quot;#,##0.00;&quot;S/&quot;\-#,##0.00"/>
    <numFmt numFmtId="209" formatCode="&quot;S/&quot;#,##0.00;[Red]&quot;S/&quot;\-#,##0.00"/>
    <numFmt numFmtId="210" formatCode="_ &quot;S/&quot;* #,##0_ ;_ &quot;S/&quot;* \-#,##0_ ;_ &quot;S/&quot;* &quot;-&quot;_ ;_ @_ "/>
    <numFmt numFmtId="211" formatCode="_ &quot;S/&quot;* #,##0.00_ ;_ &quot;S/&quot;* \-#,##0.00_ ;_ &quot;S/&quot;* &quot;-&quot;??_ ;_ @_ "/>
    <numFmt numFmtId="212" formatCode="00"/>
    <numFmt numFmtId="213" formatCode="0.0"/>
    <numFmt numFmtId="214" formatCode="_ * #,##0.00_)\ _$_ ;_ * \(#,##0.00\)\ _$_ ;_ * &quot;-&quot;??_)\ _$_ ;_ @_ "/>
    <numFmt numFmtId="215" formatCode="0_);\(0\)"/>
    <numFmt numFmtId="216" formatCode="[$-280A]dddd\,\ dd&quot; de &quot;mmmm&quot; de &quot;yyyy"/>
    <numFmt numFmtId="217" formatCode="[$-280A]hh:mm:ss\ AM/PM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omic Sans MS"/>
      <family val="4"/>
    </font>
    <font>
      <b/>
      <sz val="8"/>
      <name val="Comic Sans MS"/>
      <family val="4"/>
    </font>
    <font>
      <sz val="8"/>
      <name val="Century Gothic"/>
      <family val="2"/>
    </font>
    <font>
      <b/>
      <sz val="12"/>
      <name val="Comic Sans MS"/>
      <family val="4"/>
    </font>
    <font>
      <sz val="12"/>
      <name val="Comic Sans MS"/>
      <family val="4"/>
    </font>
    <font>
      <b/>
      <sz val="8"/>
      <name val="Tahoma"/>
      <family val="2"/>
    </font>
    <font>
      <sz val="8"/>
      <name val="Tahoma"/>
      <family val="2"/>
    </font>
    <font>
      <b/>
      <sz val="8"/>
      <name val="Century Gothic"/>
      <family val="2"/>
    </font>
    <font>
      <b/>
      <sz val="9"/>
      <name val="Century Gothic"/>
      <family val="2"/>
    </font>
    <font>
      <b/>
      <u val="single"/>
      <sz val="8"/>
      <name val="Century Gothic"/>
      <family val="2"/>
    </font>
    <font>
      <b/>
      <u val="single"/>
      <sz val="12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10">
    <xf numFmtId="0" fontId="0" fillId="0" borderId="0" xfId="0" applyAlignment="1">
      <alignment/>
    </xf>
    <xf numFmtId="212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left"/>
    </xf>
    <xf numFmtId="0" fontId="5" fillId="0" borderId="0" xfId="0" applyFont="1" applyAlignment="1">
      <alignment/>
    </xf>
    <xf numFmtId="212" fontId="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4" fontId="6" fillId="36" borderId="11" xfId="0" applyNumberFormat="1" applyFont="1" applyFill="1" applyBorder="1" applyAlignment="1">
      <alignment horizontal="right"/>
    </xf>
    <xf numFmtId="4" fontId="5" fillId="36" borderId="11" xfId="0" applyNumberFormat="1" applyFont="1" applyFill="1" applyBorder="1" applyAlignment="1">
      <alignment horizontal="right"/>
    </xf>
    <xf numFmtId="4" fontId="5" fillId="36" borderId="11" xfId="0" applyNumberFormat="1" applyFont="1" applyFill="1" applyBorder="1" applyAlignment="1">
      <alignment horizontal="center"/>
    </xf>
    <xf numFmtId="212" fontId="5" fillId="33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4" fontId="6" fillId="36" borderId="12" xfId="0" applyNumberFormat="1" applyFont="1" applyFill="1" applyBorder="1" applyAlignment="1">
      <alignment horizontal="right"/>
    </xf>
    <xf numFmtId="4" fontId="5" fillId="36" borderId="12" xfId="0" applyNumberFormat="1" applyFont="1" applyFill="1" applyBorder="1" applyAlignment="1">
      <alignment horizontal="right"/>
    </xf>
    <xf numFmtId="21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4" fontId="6" fillId="36" borderId="10" xfId="0" applyNumberFormat="1" applyFont="1" applyFill="1" applyBorder="1" applyAlignment="1">
      <alignment horizontal="right"/>
    </xf>
    <xf numFmtId="4" fontId="5" fillId="36" borderId="10" xfId="0" applyNumberFormat="1" applyFont="1" applyFill="1" applyBorder="1" applyAlignment="1">
      <alignment horizontal="right"/>
    </xf>
    <xf numFmtId="4" fontId="5" fillId="36" borderId="10" xfId="0" applyNumberFormat="1" applyFont="1" applyFill="1" applyBorder="1" applyAlignment="1">
      <alignment horizontal="center"/>
    </xf>
    <xf numFmtId="212" fontId="3" fillId="33" borderId="13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4" fontId="4" fillId="33" borderId="13" xfId="0" applyNumberFormat="1" applyFont="1" applyFill="1" applyBorder="1" applyAlignment="1">
      <alignment horizontal="right"/>
    </xf>
    <xf numFmtId="4" fontId="3" fillId="33" borderId="13" xfId="0" applyNumberFormat="1" applyFont="1" applyFill="1" applyBorder="1" applyAlignment="1">
      <alignment horizontal="right"/>
    </xf>
    <xf numFmtId="212" fontId="3" fillId="33" borderId="14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 horizontal="right"/>
    </xf>
    <xf numFmtId="4" fontId="3" fillId="33" borderId="14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 horizontal="left"/>
    </xf>
    <xf numFmtId="212" fontId="5" fillId="33" borderId="14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34" borderId="14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4" fontId="6" fillId="36" borderId="14" xfId="0" applyNumberFormat="1" applyFont="1" applyFill="1" applyBorder="1" applyAlignment="1">
      <alignment horizontal="right"/>
    </xf>
    <xf numFmtId="4" fontId="5" fillId="36" borderId="14" xfId="0" applyNumberFormat="1" applyFont="1" applyFill="1" applyBorder="1" applyAlignment="1">
      <alignment horizontal="right"/>
    </xf>
    <xf numFmtId="212" fontId="5" fillId="33" borderId="15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/>
    </xf>
    <xf numFmtId="0" fontId="5" fillId="34" borderId="15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4" fontId="6" fillId="36" borderId="15" xfId="0" applyNumberFormat="1" applyFont="1" applyFill="1" applyBorder="1" applyAlignment="1">
      <alignment horizontal="right"/>
    </xf>
    <xf numFmtId="4" fontId="5" fillId="36" borderId="15" xfId="0" applyNumberFormat="1" applyFont="1" applyFill="1" applyBorder="1" applyAlignment="1">
      <alignment horizontal="right"/>
    </xf>
    <xf numFmtId="4" fontId="4" fillId="33" borderId="14" xfId="0" applyNumberFormat="1" applyFont="1" applyFill="1" applyBorder="1" applyAlignment="1" applyProtection="1">
      <alignment horizontal="right"/>
      <protection locked="0"/>
    </xf>
    <xf numFmtId="212" fontId="3" fillId="33" borderId="16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/>
    </xf>
    <xf numFmtId="0" fontId="3" fillId="34" borderId="16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4" fontId="4" fillId="33" borderId="16" xfId="0" applyNumberFormat="1" applyFont="1" applyFill="1" applyBorder="1" applyAlignment="1">
      <alignment horizontal="right"/>
    </xf>
    <xf numFmtId="4" fontId="3" fillId="33" borderId="16" xfId="0" applyNumberFormat="1" applyFont="1" applyFill="1" applyBorder="1" applyAlignment="1">
      <alignment horizontal="right"/>
    </xf>
    <xf numFmtId="0" fontId="3" fillId="34" borderId="17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4" fontId="4" fillId="33" borderId="17" xfId="0" applyNumberFormat="1" applyFont="1" applyFill="1" applyBorder="1" applyAlignment="1" applyProtection="1">
      <alignment horizontal="right"/>
      <protection locked="0"/>
    </xf>
    <xf numFmtId="4" fontId="3" fillId="33" borderId="17" xfId="0" applyNumberFormat="1" applyFont="1" applyFill="1" applyBorder="1" applyAlignment="1">
      <alignment horizontal="right"/>
    </xf>
    <xf numFmtId="0" fontId="5" fillId="34" borderId="0" xfId="0" applyFont="1" applyFill="1" applyAlignment="1">
      <alignment horizontal="center"/>
    </xf>
    <xf numFmtId="0" fontId="0" fillId="0" borderId="12" xfId="0" applyBorder="1" applyAlignment="1">
      <alignment/>
    </xf>
    <xf numFmtId="0" fontId="5" fillId="35" borderId="0" xfId="0" applyFont="1" applyFill="1" applyAlignment="1">
      <alignment horizontal="center"/>
    </xf>
    <xf numFmtId="4" fontId="6" fillId="36" borderId="0" xfId="0" applyNumberFormat="1" applyFont="1" applyFill="1" applyAlignment="1">
      <alignment horizontal="right"/>
    </xf>
    <xf numFmtId="4" fontId="5" fillId="36" borderId="0" xfId="0" applyNumberFormat="1" applyFont="1" applyFill="1" applyAlignment="1">
      <alignment horizontal="right"/>
    </xf>
    <xf numFmtId="0" fontId="0" fillId="0" borderId="11" xfId="0" applyBorder="1" applyAlignment="1">
      <alignment/>
    </xf>
    <xf numFmtId="4" fontId="5" fillId="36" borderId="0" xfId="0" applyNumberFormat="1" applyFont="1" applyFill="1" applyAlignment="1">
      <alignment horizontal="center"/>
    </xf>
    <xf numFmtId="0" fontId="0" fillId="0" borderId="10" xfId="0" applyBorder="1" applyAlignment="1">
      <alignment/>
    </xf>
    <xf numFmtId="4" fontId="4" fillId="33" borderId="13" xfId="0" applyNumberFormat="1" applyFont="1" applyFill="1" applyBorder="1" applyAlignment="1" applyProtection="1">
      <alignment horizontal="right"/>
      <protection locked="0"/>
    </xf>
    <xf numFmtId="212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212" fontId="7" fillId="33" borderId="18" xfId="0" applyNumberFormat="1" applyFont="1" applyFill="1" applyBorder="1" applyAlignment="1">
      <alignment horizontal="center"/>
    </xf>
    <xf numFmtId="0" fontId="7" fillId="33" borderId="18" xfId="0" applyFont="1" applyFill="1" applyBorder="1" applyAlignment="1">
      <alignment/>
    </xf>
    <xf numFmtId="4" fontId="7" fillId="33" borderId="18" xfId="0" applyNumberFormat="1" applyFont="1" applyFill="1" applyBorder="1" applyAlignment="1">
      <alignment/>
    </xf>
    <xf numFmtId="4" fontId="7" fillId="33" borderId="19" xfId="0" applyNumberFormat="1" applyFont="1" applyFill="1" applyBorder="1" applyAlignment="1">
      <alignment/>
    </xf>
    <xf numFmtId="212" fontId="7" fillId="33" borderId="0" xfId="0" applyNumberFormat="1" applyFont="1" applyFill="1" applyBorder="1" applyAlignment="1">
      <alignment horizontal="center"/>
    </xf>
    <xf numFmtId="4" fontId="7" fillId="33" borderId="0" xfId="0" applyNumberFormat="1" applyFont="1" applyFill="1" applyBorder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4" fontId="12" fillId="33" borderId="20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4" fontId="13" fillId="37" borderId="20" xfId="0" applyNumberFormat="1" applyFont="1" applyFill="1" applyBorder="1" applyAlignment="1">
      <alignment/>
    </xf>
    <xf numFmtId="0" fontId="13" fillId="33" borderId="0" xfId="0" applyFont="1" applyFill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212" fontId="14" fillId="33" borderId="19" xfId="0" applyNumberFormat="1" applyFont="1" applyFill="1" applyBorder="1" applyAlignment="1">
      <alignment horizontal="center"/>
    </xf>
    <xf numFmtId="0" fontId="12" fillId="37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212" fontId="12" fillId="33" borderId="21" xfId="0" applyNumberFormat="1" applyFont="1" applyFill="1" applyBorder="1" applyAlignment="1">
      <alignment horizontal="center"/>
    </xf>
    <xf numFmtId="212" fontId="12" fillId="33" borderId="22" xfId="0" applyNumberFormat="1" applyFont="1" applyFill="1" applyBorder="1" applyAlignment="1">
      <alignment horizontal="center"/>
    </xf>
    <xf numFmtId="212" fontId="13" fillId="37" borderId="21" xfId="0" applyNumberFormat="1" applyFont="1" applyFill="1" applyBorder="1" applyAlignment="1">
      <alignment horizontal="center"/>
    </xf>
    <xf numFmtId="212" fontId="13" fillId="37" borderId="22" xfId="0" applyNumberFormat="1" applyFont="1" applyFill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17" fontId="8" fillId="33" borderId="0" xfId="0" applyNumberFormat="1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152400</xdr:rowOff>
    </xdr:from>
    <xdr:to>
      <xdr:col>2</xdr:col>
      <xdr:colOff>47625</xdr:colOff>
      <xdr:row>3</xdr:row>
      <xdr:rowOff>161925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52400"/>
          <a:ext cx="2066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G1" sqref="G1:G16384"/>
    </sheetView>
  </sheetViews>
  <sheetFormatPr defaultColWidth="11.421875" defaultRowHeight="12.75"/>
  <cols>
    <col min="1" max="1" width="2.8515625" style="0" customWidth="1"/>
    <col min="2" max="2" width="25.7109375" style="0" customWidth="1"/>
    <col min="3" max="3" width="3.7109375" style="0" customWidth="1"/>
    <col min="4" max="4" width="3.57421875" style="0" customWidth="1"/>
    <col min="5" max="5" width="8.7109375" style="0" customWidth="1"/>
    <col min="6" max="7" width="7.7109375" style="0" customWidth="1"/>
    <col min="8" max="8" width="5.7109375" style="0" customWidth="1"/>
    <col min="9" max="9" width="6.421875" style="0" customWidth="1"/>
    <col min="10" max="10" width="8.140625" style="0" customWidth="1"/>
    <col min="11" max="12" width="7.57421875" style="0" customWidth="1"/>
    <col min="13" max="13" width="6.8515625" style="0" customWidth="1"/>
    <col min="14" max="14" width="7.00390625" style="0" customWidth="1"/>
    <col min="15" max="15" width="8.57421875" style="0" customWidth="1"/>
    <col min="16" max="16" width="8.7109375" style="0" customWidth="1"/>
    <col min="17" max="17" width="7.7109375" style="0" customWidth="1"/>
    <col min="18" max="18" width="5.421875" style="0" customWidth="1"/>
    <col min="19" max="19" width="7.7109375" style="0" customWidth="1"/>
    <col min="20" max="20" width="8.57421875" style="0" customWidth="1"/>
    <col min="21" max="21" width="7.8515625" style="0" customWidth="1"/>
    <col min="22" max="22" width="7.7109375" style="0" customWidth="1"/>
  </cols>
  <sheetData>
    <row r="1" spans="1:22" ht="13.5" thickBot="1">
      <c r="A1" s="38">
        <v>1</v>
      </c>
      <c r="B1" s="39" t="s">
        <v>17</v>
      </c>
      <c r="C1" s="40">
        <v>57</v>
      </c>
      <c r="D1" s="41"/>
      <c r="E1" s="42">
        <v>1000</v>
      </c>
      <c r="F1" s="43"/>
      <c r="G1" s="43"/>
      <c r="H1" s="43"/>
      <c r="I1" s="43"/>
      <c r="J1" s="43"/>
      <c r="K1" s="43"/>
      <c r="L1" s="43"/>
      <c r="M1" s="43"/>
      <c r="N1" s="43"/>
      <c r="O1" s="6">
        <f aca="true" t="shared" si="0" ref="O1:O8">SUM(E1:N1)</f>
        <v>1000</v>
      </c>
      <c r="P1" s="6">
        <f aca="true" t="shared" si="1" ref="P1:P8">+E1+F1+H1+I1+K1+N1</f>
        <v>1000</v>
      </c>
      <c r="Q1" s="6">
        <f aca="true" t="shared" si="2" ref="Q1:Q8">P1*9%</f>
        <v>90</v>
      </c>
      <c r="R1" s="6"/>
      <c r="S1" s="6">
        <f aca="true" t="shared" si="3" ref="S1:S8">SUM(Q1:R1)</f>
        <v>90</v>
      </c>
      <c r="T1" s="5">
        <f aca="true" t="shared" si="4" ref="T1:T8">O1+S1</f>
        <v>1090</v>
      </c>
      <c r="U1" s="7" t="s">
        <v>8</v>
      </c>
      <c r="V1" s="8">
        <f>+P1*12.92%</f>
        <v>129.20000000000002</v>
      </c>
    </row>
    <row r="2" spans="1:22" ht="13.5" thickBot="1">
      <c r="A2" s="38">
        <f>1+A8</f>
        <v>7</v>
      </c>
      <c r="B2" s="39" t="s">
        <v>1</v>
      </c>
      <c r="C2" s="40">
        <v>58</v>
      </c>
      <c r="D2" s="41">
        <v>5</v>
      </c>
      <c r="E2" s="42">
        <v>1789</v>
      </c>
      <c r="F2" s="43">
        <f>75+300</f>
        <v>375</v>
      </c>
      <c r="G2" s="43"/>
      <c r="H2" s="43"/>
      <c r="I2" s="43">
        <v>16.76</v>
      </c>
      <c r="J2" s="43"/>
      <c r="K2" s="43"/>
      <c r="L2" s="43"/>
      <c r="M2" s="43"/>
      <c r="N2" s="43"/>
      <c r="O2" s="6">
        <f t="shared" si="0"/>
        <v>2180.76</v>
      </c>
      <c r="P2" s="6">
        <f t="shared" si="1"/>
        <v>2180.76</v>
      </c>
      <c r="Q2" s="6">
        <f t="shared" si="2"/>
        <v>196.2684</v>
      </c>
      <c r="R2" s="6"/>
      <c r="S2" s="6">
        <f t="shared" si="3"/>
        <v>196.2684</v>
      </c>
      <c r="T2" s="5">
        <f t="shared" si="4"/>
        <v>2377.0284</v>
      </c>
      <c r="U2" s="7" t="s">
        <v>6</v>
      </c>
      <c r="V2" s="8">
        <f>+P2*12.78%</f>
        <v>278.70112800000004</v>
      </c>
    </row>
    <row r="3" spans="1:22" ht="12.75">
      <c r="A3" s="32">
        <v>1</v>
      </c>
      <c r="B3" s="33" t="s">
        <v>4</v>
      </c>
      <c r="C3" s="34">
        <v>21</v>
      </c>
      <c r="D3" s="35"/>
      <c r="E3" s="36">
        <v>1666</v>
      </c>
      <c r="F3" s="37">
        <v>250</v>
      </c>
      <c r="G3" s="37"/>
      <c r="H3" s="37"/>
      <c r="I3" s="37"/>
      <c r="J3" s="37"/>
      <c r="K3" s="37"/>
      <c r="L3" s="37"/>
      <c r="M3" s="37"/>
      <c r="N3" s="37"/>
      <c r="O3" s="6">
        <f t="shared" si="0"/>
        <v>1916</v>
      </c>
      <c r="P3" s="6">
        <f t="shared" si="1"/>
        <v>1916</v>
      </c>
      <c r="Q3" s="6">
        <f t="shared" si="2"/>
        <v>172.44</v>
      </c>
      <c r="R3" s="6"/>
      <c r="S3" s="6">
        <f t="shared" si="3"/>
        <v>172.44</v>
      </c>
      <c r="T3" s="5">
        <f t="shared" si="4"/>
        <v>2088.44</v>
      </c>
      <c r="U3" s="7" t="s">
        <v>9</v>
      </c>
      <c r="V3" s="8">
        <f>+P3*12.92%</f>
        <v>247.5472</v>
      </c>
    </row>
    <row r="4" spans="1:22" ht="12.75">
      <c r="A4" s="1">
        <f>1+A3</f>
        <v>2</v>
      </c>
      <c r="B4" s="2" t="s">
        <v>3</v>
      </c>
      <c r="C4" s="3">
        <v>42</v>
      </c>
      <c r="D4" s="4">
        <v>5</v>
      </c>
      <c r="E4" s="5">
        <v>1782</v>
      </c>
      <c r="F4" s="6">
        <v>300</v>
      </c>
      <c r="G4" s="6"/>
      <c r="H4" s="6"/>
      <c r="I4" s="6">
        <v>22.84</v>
      </c>
      <c r="J4" s="6"/>
      <c r="K4" s="6"/>
      <c r="L4" s="6"/>
      <c r="M4" s="6"/>
      <c r="N4" s="6"/>
      <c r="O4" s="6">
        <f t="shared" si="0"/>
        <v>2104.84</v>
      </c>
      <c r="P4" s="6">
        <f t="shared" si="1"/>
        <v>2104.84</v>
      </c>
      <c r="Q4" s="6">
        <f t="shared" si="2"/>
        <v>189.4356</v>
      </c>
      <c r="R4" s="6"/>
      <c r="S4" s="6">
        <f t="shared" si="3"/>
        <v>189.4356</v>
      </c>
      <c r="T4" s="5">
        <f t="shared" si="4"/>
        <v>2294.2756</v>
      </c>
      <c r="U4" s="7" t="s">
        <v>9</v>
      </c>
      <c r="V4" s="8" t="s">
        <v>16</v>
      </c>
    </row>
    <row r="5" spans="1:22" ht="12.75">
      <c r="A5" s="1">
        <f>1+A4</f>
        <v>3</v>
      </c>
      <c r="B5" s="2" t="s">
        <v>5</v>
      </c>
      <c r="C5" s="3">
        <v>80</v>
      </c>
      <c r="D5" s="4"/>
      <c r="E5" s="5">
        <v>1666</v>
      </c>
      <c r="F5" s="6">
        <f>150+200</f>
        <v>350</v>
      </c>
      <c r="G5" s="6"/>
      <c r="H5" s="6"/>
      <c r="I5" s="6"/>
      <c r="J5" s="6"/>
      <c r="K5" s="6">
        <v>1666</v>
      </c>
      <c r="L5" s="6"/>
      <c r="M5" s="6"/>
      <c r="N5" s="6"/>
      <c r="O5" s="6">
        <f t="shared" si="0"/>
        <v>3682</v>
      </c>
      <c r="P5" s="6">
        <f t="shared" si="1"/>
        <v>3682</v>
      </c>
      <c r="Q5" s="6">
        <f t="shared" si="2"/>
        <v>331.38</v>
      </c>
      <c r="R5" s="6"/>
      <c r="S5" s="6">
        <f t="shared" si="3"/>
        <v>331.38</v>
      </c>
      <c r="T5" s="5">
        <f t="shared" si="4"/>
        <v>4013.38</v>
      </c>
      <c r="U5" s="7" t="s">
        <v>9</v>
      </c>
      <c r="V5" s="8">
        <f>+P5*12.92%</f>
        <v>475.7144</v>
      </c>
    </row>
    <row r="6" spans="1:22" ht="12.75">
      <c r="A6" s="1">
        <f>1+A5</f>
        <v>4</v>
      </c>
      <c r="B6" s="2" t="s">
        <v>0</v>
      </c>
      <c r="C6" s="3">
        <v>72</v>
      </c>
      <c r="D6" s="4">
        <v>5</v>
      </c>
      <c r="E6" s="5">
        <v>1748</v>
      </c>
      <c r="F6" s="6">
        <f>75+300</f>
        <v>375</v>
      </c>
      <c r="G6" s="6"/>
      <c r="H6" s="6">
        <v>47.26</v>
      </c>
      <c r="I6" s="6">
        <v>15.28</v>
      </c>
      <c r="J6" s="6"/>
      <c r="K6" s="6"/>
      <c r="L6" s="6"/>
      <c r="M6" s="6"/>
      <c r="N6" s="6"/>
      <c r="O6" s="6">
        <f t="shared" si="0"/>
        <v>2185.5400000000004</v>
      </c>
      <c r="P6" s="6">
        <f t="shared" si="1"/>
        <v>2185.5400000000004</v>
      </c>
      <c r="Q6" s="6">
        <f t="shared" si="2"/>
        <v>196.69860000000003</v>
      </c>
      <c r="R6" s="6"/>
      <c r="S6" s="6">
        <f t="shared" si="3"/>
        <v>196.69860000000003</v>
      </c>
      <c r="T6" s="5">
        <f t="shared" si="4"/>
        <v>2382.2386000000006</v>
      </c>
      <c r="U6" s="7" t="s">
        <v>6</v>
      </c>
      <c r="V6" s="8">
        <f>+P6*12.78%</f>
        <v>279.31201200000004</v>
      </c>
    </row>
    <row r="7" spans="1:22" ht="12.75">
      <c r="A7" s="1">
        <v>5</v>
      </c>
      <c r="B7" s="2" t="s">
        <v>7</v>
      </c>
      <c r="C7" s="3">
        <v>46</v>
      </c>
      <c r="D7" s="4">
        <v>5</v>
      </c>
      <c r="E7" s="5">
        <v>1727</v>
      </c>
      <c r="F7" s="6">
        <f>75+150</f>
        <v>225</v>
      </c>
      <c r="G7" s="6"/>
      <c r="H7" s="6"/>
      <c r="I7" s="6"/>
      <c r="J7" s="6"/>
      <c r="K7" s="6"/>
      <c r="L7" s="6"/>
      <c r="M7" s="6"/>
      <c r="N7" s="6"/>
      <c r="O7" s="6">
        <f t="shared" si="0"/>
        <v>1952</v>
      </c>
      <c r="P7" s="6">
        <f t="shared" si="1"/>
        <v>1952</v>
      </c>
      <c r="Q7" s="6">
        <f t="shared" si="2"/>
        <v>175.68</v>
      </c>
      <c r="R7" s="6"/>
      <c r="S7" s="6">
        <f t="shared" si="3"/>
        <v>175.68</v>
      </c>
      <c r="T7" s="5">
        <f t="shared" si="4"/>
        <v>2127.68</v>
      </c>
      <c r="U7" s="7" t="s">
        <v>6</v>
      </c>
      <c r="V7" s="8">
        <f>+P7*12.78%</f>
        <v>249.4656</v>
      </c>
    </row>
    <row r="8" spans="1:22" ht="13.5" thickBot="1">
      <c r="A8" s="38">
        <v>6</v>
      </c>
      <c r="B8" s="39" t="s">
        <v>2</v>
      </c>
      <c r="C8" s="40">
        <v>73</v>
      </c>
      <c r="D8" s="41">
        <v>5</v>
      </c>
      <c r="E8" s="57">
        <v>1782</v>
      </c>
      <c r="F8" s="43">
        <f>75+300</f>
        <v>375</v>
      </c>
      <c r="G8" s="43"/>
      <c r="H8" s="43">
        <v>50.33</v>
      </c>
      <c r="I8" s="43">
        <v>16.27</v>
      </c>
      <c r="J8" s="43"/>
      <c r="K8" s="43"/>
      <c r="L8" s="43"/>
      <c r="M8" s="43"/>
      <c r="N8" s="43"/>
      <c r="O8" s="6">
        <f t="shared" si="0"/>
        <v>2223.6</v>
      </c>
      <c r="P8" s="6">
        <f t="shared" si="1"/>
        <v>2223.6</v>
      </c>
      <c r="Q8" s="6">
        <f t="shared" si="2"/>
        <v>200.124</v>
      </c>
      <c r="R8" s="6"/>
      <c r="S8" s="6">
        <f t="shared" si="3"/>
        <v>200.124</v>
      </c>
      <c r="T8" s="5">
        <f t="shared" si="4"/>
        <v>2423.7239999999997</v>
      </c>
      <c r="U8" s="7" t="s">
        <v>6</v>
      </c>
      <c r="V8" s="8">
        <f>+P8*12.78%</f>
        <v>284.17607999999996</v>
      </c>
    </row>
    <row r="9" spans="1:22" ht="13.5">
      <c r="A9" s="19">
        <v>1</v>
      </c>
      <c r="B9" s="20" t="s">
        <v>26</v>
      </c>
      <c r="C9" s="64"/>
      <c r="D9" s="65"/>
      <c r="E9" s="66"/>
      <c r="F9" s="67"/>
      <c r="G9" s="67"/>
      <c r="H9" s="67"/>
      <c r="I9" s="67"/>
      <c r="J9" s="67"/>
      <c r="K9" s="67"/>
      <c r="L9" s="67"/>
      <c r="M9" s="67"/>
      <c r="N9" s="67"/>
      <c r="O9" s="6"/>
      <c r="P9" s="6"/>
      <c r="Q9" s="6"/>
      <c r="R9" s="6"/>
      <c r="S9" s="6"/>
      <c r="T9" s="5"/>
      <c r="U9" s="7"/>
      <c r="V9" s="8"/>
    </row>
    <row r="10" spans="1:22" ht="13.5">
      <c r="A10" s="19">
        <v>1</v>
      </c>
      <c r="B10" s="20" t="s">
        <v>20</v>
      </c>
      <c r="C10" s="34"/>
      <c r="D10" s="35"/>
      <c r="E10" s="76"/>
      <c r="F10" s="37"/>
      <c r="G10" s="37"/>
      <c r="H10" s="37"/>
      <c r="I10" s="37"/>
      <c r="J10" s="37"/>
      <c r="K10" s="37"/>
      <c r="L10" s="37"/>
      <c r="M10" s="37"/>
      <c r="N10" s="37"/>
      <c r="O10" s="6"/>
      <c r="P10" s="6"/>
      <c r="Q10" s="6"/>
      <c r="R10" s="6"/>
      <c r="S10" s="6"/>
      <c r="T10" s="5"/>
      <c r="U10" s="7"/>
      <c r="V10" s="8"/>
    </row>
    <row r="11" spans="1:22" ht="13.5" thickBot="1">
      <c r="A11" s="58">
        <v>1</v>
      </c>
      <c r="B11" s="59" t="s">
        <v>15</v>
      </c>
      <c r="C11" s="60"/>
      <c r="D11" s="61"/>
      <c r="E11" s="62">
        <v>1000</v>
      </c>
      <c r="F11" s="63">
        <v>150</v>
      </c>
      <c r="G11" s="63"/>
      <c r="H11" s="63"/>
      <c r="I11" s="63"/>
      <c r="J11" s="63"/>
      <c r="K11" s="63"/>
      <c r="L11" s="63"/>
      <c r="M11" s="63"/>
      <c r="N11" s="63"/>
      <c r="O11" s="6">
        <f>SUM(E11:N11)</f>
        <v>1150</v>
      </c>
      <c r="P11" s="6">
        <f>+O11-M11-J11</f>
        <v>1150</v>
      </c>
      <c r="Q11" s="6">
        <f>P11*9%</f>
        <v>103.5</v>
      </c>
      <c r="R11" s="6"/>
      <c r="S11" s="6">
        <f>SUM(Q11:R11)</f>
        <v>103.5</v>
      </c>
      <c r="T11" s="5">
        <f>O11+S11</f>
        <v>1253.5</v>
      </c>
      <c r="U11" s="7" t="s">
        <v>10</v>
      </c>
      <c r="V11" s="8">
        <f>+P11*13%</f>
        <v>149.5</v>
      </c>
    </row>
    <row r="12" spans="1:22" ht="12.75">
      <c r="A12" s="32">
        <v>1</v>
      </c>
      <c r="B12" s="44" t="s">
        <v>12</v>
      </c>
      <c r="C12" s="34"/>
      <c r="D12" s="35"/>
      <c r="E12" s="36">
        <v>750</v>
      </c>
      <c r="F12" s="37">
        <f>75+80</f>
        <v>155</v>
      </c>
      <c r="G12" s="37"/>
      <c r="H12" s="37"/>
      <c r="I12" s="37"/>
      <c r="J12" s="37"/>
      <c r="K12" s="37"/>
      <c r="L12" s="37"/>
      <c r="M12" s="37"/>
      <c r="N12" s="37"/>
      <c r="O12" s="6">
        <f>SUM(E12:N12)</f>
        <v>905</v>
      </c>
      <c r="P12" s="6">
        <f>+O12-M12-J12</f>
        <v>905</v>
      </c>
      <c r="Q12" s="6">
        <f>P12*9%</f>
        <v>81.45</v>
      </c>
      <c r="R12" s="6"/>
      <c r="S12" s="6">
        <f>SUM(Q12:R12)</f>
        <v>81.45</v>
      </c>
      <c r="T12" s="5">
        <f>O12+S12</f>
        <v>986.45</v>
      </c>
      <c r="U12" s="7" t="s">
        <v>10</v>
      </c>
      <c r="V12" s="8">
        <f>+P12*13%</f>
        <v>117.65</v>
      </c>
    </row>
    <row r="13" spans="1:22" ht="12.75">
      <c r="A13" s="1">
        <v>2</v>
      </c>
      <c r="B13" s="10" t="s">
        <v>11</v>
      </c>
      <c r="C13" s="3"/>
      <c r="D13" s="4">
        <v>5</v>
      </c>
      <c r="E13" s="5">
        <v>880</v>
      </c>
      <c r="F13" s="6">
        <f>140+117.32+58.66</f>
        <v>315.98</v>
      </c>
      <c r="G13" s="6"/>
      <c r="H13" s="6"/>
      <c r="I13" s="6"/>
      <c r="J13" s="6"/>
      <c r="K13" s="6"/>
      <c r="L13" s="6"/>
      <c r="M13" s="6">
        <v>92</v>
      </c>
      <c r="N13" s="6"/>
      <c r="O13" s="6">
        <f>SUM(E13:N13)</f>
        <v>1287.98</v>
      </c>
      <c r="P13" s="6">
        <f>+O13-M13-J13</f>
        <v>1195.98</v>
      </c>
      <c r="Q13" s="6">
        <f>P13*9%</f>
        <v>107.6382</v>
      </c>
      <c r="R13" s="6"/>
      <c r="S13" s="6">
        <f>SUM(Q13:R13)</f>
        <v>107.6382</v>
      </c>
      <c r="T13" s="5">
        <f>O13+S13</f>
        <v>1395.6182000000001</v>
      </c>
      <c r="U13" s="7" t="s">
        <v>8</v>
      </c>
      <c r="V13" s="8">
        <f>+P13*12.92%</f>
        <v>154.52061600000002</v>
      </c>
    </row>
    <row r="14" spans="1:22" ht="12.75">
      <c r="A14" s="1">
        <v>3</v>
      </c>
      <c r="B14" s="10" t="s">
        <v>13</v>
      </c>
      <c r="C14" s="3"/>
      <c r="D14" s="4"/>
      <c r="E14" s="5">
        <v>750</v>
      </c>
      <c r="F14" s="6">
        <v>80</v>
      </c>
      <c r="G14" s="6"/>
      <c r="H14" s="6"/>
      <c r="I14" s="6"/>
      <c r="J14" s="6"/>
      <c r="K14" s="6"/>
      <c r="L14" s="6"/>
      <c r="M14" s="6"/>
      <c r="N14" s="6"/>
      <c r="O14" s="6">
        <f>SUM(E14:N14)</f>
        <v>830</v>
      </c>
      <c r="P14" s="6">
        <f>+O14-M14-J14</f>
        <v>830</v>
      </c>
      <c r="Q14" s="6">
        <f>P14*9%</f>
        <v>74.7</v>
      </c>
      <c r="R14" s="6"/>
      <c r="S14" s="6">
        <f>SUM(Q14:R14)</f>
        <v>74.7</v>
      </c>
      <c r="T14" s="5">
        <f>O14+S14</f>
        <v>904.7</v>
      </c>
      <c r="U14" s="7" t="s">
        <v>10</v>
      </c>
      <c r="V14" s="8">
        <f>+P14*13%</f>
        <v>107.9</v>
      </c>
    </row>
    <row r="15" spans="1:22" ht="12.75">
      <c r="A15" s="1">
        <v>4</v>
      </c>
      <c r="B15" s="10" t="s">
        <v>14</v>
      </c>
      <c r="C15" s="3"/>
      <c r="D15" s="4"/>
      <c r="E15" s="5">
        <v>750</v>
      </c>
      <c r="F15" s="6">
        <f>75+80</f>
        <v>155</v>
      </c>
      <c r="G15" s="6"/>
      <c r="H15" s="6"/>
      <c r="I15" s="6"/>
      <c r="J15" s="6"/>
      <c r="K15" s="6"/>
      <c r="L15" s="6"/>
      <c r="M15" s="6">
        <v>23</v>
      </c>
      <c r="N15" s="6"/>
      <c r="O15" s="6">
        <f>SUM(E15:N15)</f>
        <v>928</v>
      </c>
      <c r="P15" s="6">
        <f>+O15-M15-J15</f>
        <v>905</v>
      </c>
      <c r="Q15" s="6">
        <f>P15*9%</f>
        <v>81.45</v>
      </c>
      <c r="R15" s="6"/>
      <c r="S15" s="6">
        <f>SUM(Q15:R15)</f>
        <v>81.45</v>
      </c>
      <c r="T15" s="5">
        <f>O15+S15</f>
        <v>1009.45</v>
      </c>
      <c r="U15" s="7" t="s">
        <v>10</v>
      </c>
      <c r="V15" s="8">
        <f>+P15*13%</f>
        <v>117.65</v>
      </c>
    </row>
  </sheetData>
  <sheetProtection/>
  <printOptions/>
  <pageMargins left="0.39" right="0.31" top="0.67" bottom="1" header="0" footer="0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A14" sqref="A14:B14"/>
    </sheetView>
  </sheetViews>
  <sheetFormatPr defaultColWidth="11.421875" defaultRowHeight="12.75"/>
  <cols>
    <col min="1" max="1" width="2.8515625" style="0" customWidth="1"/>
    <col min="2" max="2" width="21.8515625" style="0" customWidth="1"/>
    <col min="3" max="3" width="3.57421875" style="0" customWidth="1"/>
    <col min="4" max="4" width="4.140625" style="0" customWidth="1"/>
    <col min="5" max="5" width="9.421875" style="0" customWidth="1"/>
    <col min="6" max="7" width="8.140625" style="0" customWidth="1"/>
    <col min="8" max="8" width="5.8515625" style="0" customWidth="1"/>
    <col min="9" max="9" width="5.57421875" style="0" customWidth="1"/>
    <col min="10" max="10" width="4.8515625" style="0" customWidth="1"/>
    <col min="11" max="11" width="8.140625" style="0" customWidth="1"/>
    <col min="12" max="12" width="4.8515625" style="0" customWidth="1"/>
    <col min="13" max="13" width="7.00390625" style="0" customWidth="1"/>
    <col min="14" max="14" width="4.421875" style="0" customWidth="1"/>
    <col min="15" max="15" width="9.28125" style="0" customWidth="1"/>
    <col min="16" max="16" width="9.421875" style="0" customWidth="1"/>
    <col min="17" max="17" width="8.140625" style="0" customWidth="1"/>
    <col min="18" max="18" width="4.57421875" style="0" customWidth="1"/>
    <col min="19" max="19" width="8.28125" style="0" customWidth="1"/>
    <col min="20" max="20" width="9.421875" style="0" customWidth="1"/>
    <col min="21" max="21" width="7.00390625" style="0" customWidth="1"/>
    <col min="22" max="22" width="8.140625" style="0" customWidth="1"/>
  </cols>
  <sheetData>
    <row r="1" spans="1:22" ht="15" thickBot="1">
      <c r="A1" s="45">
        <v>1</v>
      </c>
      <c r="B1" s="46" t="s">
        <v>23</v>
      </c>
      <c r="C1" s="47">
        <v>49</v>
      </c>
      <c r="D1" s="48">
        <v>5</v>
      </c>
      <c r="E1" s="49">
        <v>2500</v>
      </c>
      <c r="F1" s="50"/>
      <c r="G1" s="50"/>
      <c r="H1" s="50"/>
      <c r="I1" s="50"/>
      <c r="J1" s="50"/>
      <c r="K1" s="50"/>
      <c r="L1" s="50"/>
      <c r="M1" s="50"/>
      <c r="N1" s="50"/>
      <c r="O1" s="16">
        <f aca="true" t="shared" si="0" ref="O1:O8">SUM(E1:N1)</f>
        <v>2500</v>
      </c>
      <c r="P1" s="16">
        <f aca="true" t="shared" si="1" ref="P1:P8">O1-M1-J1</f>
        <v>2500</v>
      </c>
      <c r="Q1" s="17">
        <f aca="true" t="shared" si="2" ref="Q1:Q8">P1*9%</f>
        <v>225</v>
      </c>
      <c r="R1" s="17"/>
      <c r="S1" s="17">
        <f aca="true" t="shared" si="3" ref="S1:S8">Q1+R1</f>
        <v>225</v>
      </c>
      <c r="T1" s="16">
        <f aca="true" t="shared" si="4" ref="T1:T8">P1+S1</f>
        <v>2725</v>
      </c>
      <c r="U1" s="18" t="s">
        <v>8</v>
      </c>
      <c r="V1" s="17">
        <f>+P1*13.02%</f>
        <v>325.49999999999994</v>
      </c>
    </row>
    <row r="2" spans="1:22" ht="15" thickBot="1">
      <c r="A2" s="51">
        <v>1</v>
      </c>
      <c r="B2" s="52" t="s">
        <v>1</v>
      </c>
      <c r="C2" s="53">
        <v>75</v>
      </c>
      <c r="D2" s="54">
        <v>5</v>
      </c>
      <c r="E2" s="55">
        <v>1789</v>
      </c>
      <c r="F2" s="56">
        <f>75+80</f>
        <v>155</v>
      </c>
      <c r="G2" s="56">
        <v>300</v>
      </c>
      <c r="H2" s="56"/>
      <c r="I2" s="56">
        <v>16.76</v>
      </c>
      <c r="J2" s="56"/>
      <c r="K2" s="56"/>
      <c r="L2" s="56"/>
      <c r="M2" s="56"/>
      <c r="N2" s="56"/>
      <c r="O2" s="16">
        <f t="shared" si="0"/>
        <v>2260.76</v>
      </c>
      <c r="P2" s="16">
        <f t="shared" si="1"/>
        <v>2260.76</v>
      </c>
      <c r="Q2" s="17">
        <f t="shared" si="2"/>
        <v>203.4684</v>
      </c>
      <c r="R2" s="17"/>
      <c r="S2" s="17">
        <f t="shared" si="3"/>
        <v>203.4684</v>
      </c>
      <c r="T2" s="16">
        <f t="shared" si="4"/>
        <v>2464.2284000000004</v>
      </c>
      <c r="U2" s="18" t="s">
        <v>6</v>
      </c>
      <c r="V2" s="17">
        <f>+P2*12.88%</f>
        <v>291.18588800000003</v>
      </c>
    </row>
    <row r="3" spans="1:22" ht="14.25">
      <c r="A3" s="19">
        <v>1</v>
      </c>
      <c r="B3" s="20" t="s">
        <v>4</v>
      </c>
      <c r="C3" s="21">
        <v>35</v>
      </c>
      <c r="D3" s="22"/>
      <c r="E3" s="23">
        <v>1666</v>
      </c>
      <c r="F3" s="24">
        <v>84</v>
      </c>
      <c r="G3" s="24">
        <v>250</v>
      </c>
      <c r="H3" s="24"/>
      <c r="I3" s="24"/>
      <c r="J3" s="24"/>
      <c r="K3" s="24"/>
      <c r="L3" s="24"/>
      <c r="M3" s="24">
        <v>96</v>
      </c>
      <c r="N3" s="24"/>
      <c r="O3" s="16">
        <f t="shared" si="0"/>
        <v>2096</v>
      </c>
      <c r="P3" s="16">
        <f t="shared" si="1"/>
        <v>2000</v>
      </c>
      <c r="Q3" s="17">
        <f t="shared" si="2"/>
        <v>180</v>
      </c>
      <c r="R3" s="17"/>
      <c r="S3" s="17">
        <f t="shared" si="3"/>
        <v>180</v>
      </c>
      <c r="T3" s="16">
        <f t="shared" si="4"/>
        <v>2180</v>
      </c>
      <c r="U3" s="18" t="s">
        <v>8</v>
      </c>
      <c r="V3" s="17">
        <f>+P3*13.02%</f>
        <v>260.4</v>
      </c>
    </row>
    <row r="4" spans="1:22" ht="14.25">
      <c r="A4" s="12">
        <v>1</v>
      </c>
      <c r="B4" s="13" t="s">
        <v>18</v>
      </c>
      <c r="C4" s="14">
        <v>25</v>
      </c>
      <c r="D4" s="15">
        <v>5</v>
      </c>
      <c r="E4" s="16">
        <v>1782</v>
      </c>
      <c r="F4" s="17">
        <v>72</v>
      </c>
      <c r="G4" s="17">
        <v>300</v>
      </c>
      <c r="H4" s="17"/>
      <c r="I4" s="17">
        <v>22.84</v>
      </c>
      <c r="J4" s="17"/>
      <c r="K4" s="17"/>
      <c r="L4" s="17"/>
      <c r="M4" s="17"/>
      <c r="N4" s="17"/>
      <c r="O4" s="16">
        <f t="shared" si="0"/>
        <v>2176.84</v>
      </c>
      <c r="P4" s="16">
        <f t="shared" si="1"/>
        <v>2176.84</v>
      </c>
      <c r="Q4" s="17">
        <f t="shared" si="2"/>
        <v>195.9156</v>
      </c>
      <c r="R4" s="17"/>
      <c r="S4" s="17">
        <f t="shared" si="3"/>
        <v>195.9156</v>
      </c>
      <c r="T4" s="16">
        <f t="shared" si="4"/>
        <v>2372.7556</v>
      </c>
      <c r="U4" s="18" t="s">
        <v>8</v>
      </c>
      <c r="V4" s="17"/>
    </row>
    <row r="5" spans="1:22" ht="14.25">
      <c r="A5" s="12">
        <v>2</v>
      </c>
      <c r="B5" s="13" t="s">
        <v>5</v>
      </c>
      <c r="C5" s="14">
        <v>27</v>
      </c>
      <c r="D5" s="15"/>
      <c r="E5" s="16">
        <v>1666</v>
      </c>
      <c r="F5" s="17">
        <f>75+68</f>
        <v>143</v>
      </c>
      <c r="G5" s="17">
        <v>200</v>
      </c>
      <c r="H5" s="17"/>
      <c r="I5" s="17"/>
      <c r="J5" s="17"/>
      <c r="K5" s="17"/>
      <c r="L5" s="17"/>
      <c r="M5" s="17"/>
      <c r="N5" s="17"/>
      <c r="O5" s="16">
        <f t="shared" si="0"/>
        <v>2009</v>
      </c>
      <c r="P5" s="16">
        <f t="shared" si="1"/>
        <v>2009</v>
      </c>
      <c r="Q5" s="17">
        <f t="shared" si="2"/>
        <v>180.81</v>
      </c>
      <c r="R5" s="17"/>
      <c r="S5" s="17">
        <f t="shared" si="3"/>
        <v>180.81</v>
      </c>
      <c r="T5" s="16">
        <f t="shared" si="4"/>
        <v>2189.81</v>
      </c>
      <c r="U5" s="18" t="s">
        <v>8</v>
      </c>
      <c r="V5" s="17">
        <f>+P5*13.02%</f>
        <v>261.57179999999994</v>
      </c>
    </row>
    <row r="6" spans="1:22" ht="14.25">
      <c r="A6" s="12">
        <v>2</v>
      </c>
      <c r="B6" s="13" t="s">
        <v>0</v>
      </c>
      <c r="C6" s="14">
        <v>94</v>
      </c>
      <c r="D6" s="15">
        <v>5</v>
      </c>
      <c r="E6" s="16">
        <v>1748</v>
      </c>
      <c r="F6" s="17">
        <f>75+88+188.55</f>
        <v>351.55</v>
      </c>
      <c r="G6" s="17">
        <v>300</v>
      </c>
      <c r="H6" s="17">
        <v>47.26</v>
      </c>
      <c r="I6" s="17">
        <v>15.28</v>
      </c>
      <c r="J6" s="17"/>
      <c r="K6" s="17"/>
      <c r="L6" s="17"/>
      <c r="M6" s="17">
        <v>80.5</v>
      </c>
      <c r="N6" s="17"/>
      <c r="O6" s="16">
        <f t="shared" si="0"/>
        <v>2542.5900000000006</v>
      </c>
      <c r="P6" s="16">
        <f t="shared" si="1"/>
        <v>2462.0900000000006</v>
      </c>
      <c r="Q6" s="17">
        <f t="shared" si="2"/>
        <v>221.58810000000005</v>
      </c>
      <c r="R6" s="17"/>
      <c r="S6" s="17">
        <f t="shared" si="3"/>
        <v>221.58810000000005</v>
      </c>
      <c r="T6" s="16">
        <f t="shared" si="4"/>
        <v>2683.6781000000005</v>
      </c>
      <c r="U6" s="18" t="s">
        <v>6</v>
      </c>
      <c r="V6" s="17">
        <f>+P6*12.88%</f>
        <v>317.11719200000005</v>
      </c>
    </row>
    <row r="7" spans="1:22" ht="14.25">
      <c r="A7" s="12">
        <v>3</v>
      </c>
      <c r="B7" s="13" t="s">
        <v>19</v>
      </c>
      <c r="C7" s="14">
        <v>44</v>
      </c>
      <c r="D7" s="15">
        <v>5</v>
      </c>
      <c r="E7" s="16">
        <v>1727</v>
      </c>
      <c r="F7" s="17">
        <f>75+84+180.2</f>
        <v>339.2</v>
      </c>
      <c r="G7" s="17"/>
      <c r="H7" s="17"/>
      <c r="I7" s="17"/>
      <c r="J7" s="17"/>
      <c r="K7" s="17"/>
      <c r="L7" s="17"/>
      <c r="M7" s="17">
        <v>92</v>
      </c>
      <c r="N7" s="17"/>
      <c r="O7" s="16">
        <f t="shared" si="0"/>
        <v>2158.2</v>
      </c>
      <c r="P7" s="16">
        <f t="shared" si="1"/>
        <v>2066.2</v>
      </c>
      <c r="Q7" s="17">
        <f t="shared" si="2"/>
        <v>185.95799999999997</v>
      </c>
      <c r="R7" s="17"/>
      <c r="S7" s="17">
        <f t="shared" si="3"/>
        <v>185.95799999999997</v>
      </c>
      <c r="T7" s="16">
        <f t="shared" si="4"/>
        <v>2252.158</v>
      </c>
      <c r="U7" s="18" t="s">
        <v>6</v>
      </c>
      <c r="V7" s="17">
        <f>+P7*12.88%</f>
        <v>266.12656</v>
      </c>
    </row>
    <row r="8" spans="1:22" ht="15" thickBot="1">
      <c r="A8" s="45">
        <v>3</v>
      </c>
      <c r="B8" s="46" t="s">
        <v>2</v>
      </c>
      <c r="C8" s="47">
        <v>65</v>
      </c>
      <c r="D8" s="48">
        <v>5</v>
      </c>
      <c r="E8" s="49">
        <v>1782</v>
      </c>
      <c r="F8" s="50">
        <f>75+88+192.36</f>
        <v>355.36</v>
      </c>
      <c r="G8" s="50">
        <v>300</v>
      </c>
      <c r="H8" s="50">
        <v>50.33</v>
      </c>
      <c r="I8" s="50">
        <v>16.27</v>
      </c>
      <c r="J8" s="50"/>
      <c r="K8" s="50"/>
      <c r="L8" s="50"/>
      <c r="M8" s="50">
        <v>92</v>
      </c>
      <c r="N8" s="50"/>
      <c r="O8" s="16">
        <f t="shared" si="0"/>
        <v>2595.96</v>
      </c>
      <c r="P8" s="16">
        <f t="shared" si="1"/>
        <v>2503.96</v>
      </c>
      <c r="Q8" s="17">
        <f t="shared" si="2"/>
        <v>225.3564</v>
      </c>
      <c r="R8" s="17"/>
      <c r="S8" s="17">
        <f t="shared" si="3"/>
        <v>225.3564</v>
      </c>
      <c r="T8" s="16">
        <f t="shared" si="4"/>
        <v>2729.3164</v>
      </c>
      <c r="U8" s="18" t="s">
        <v>6</v>
      </c>
      <c r="V8" s="17">
        <f>+P8*12.88%</f>
        <v>322.510048</v>
      </c>
    </row>
    <row r="9" spans="1:22" ht="14.25">
      <c r="A9" s="19">
        <v>1</v>
      </c>
      <c r="B9" s="20" t="s">
        <v>26</v>
      </c>
      <c r="C9" s="21"/>
      <c r="D9" s="22"/>
      <c r="E9" s="23"/>
      <c r="F9" s="24"/>
      <c r="G9" s="24"/>
      <c r="H9" s="24"/>
      <c r="I9" s="24"/>
      <c r="J9" s="24"/>
      <c r="K9" s="24"/>
      <c r="L9" s="24"/>
      <c r="M9" s="24"/>
      <c r="N9" s="24"/>
      <c r="O9" s="16"/>
      <c r="P9" s="16"/>
      <c r="Q9" s="17"/>
      <c r="R9" s="17"/>
      <c r="S9" s="17"/>
      <c r="T9" s="16"/>
      <c r="U9" s="18"/>
      <c r="V9" s="17"/>
    </row>
    <row r="10" spans="1:22" ht="14.25">
      <c r="A10" s="19">
        <v>1</v>
      </c>
      <c r="B10" s="20" t="s">
        <v>20</v>
      </c>
      <c r="C10" s="21"/>
      <c r="D10" s="22"/>
      <c r="E10" s="23">
        <v>1000</v>
      </c>
      <c r="F10" s="24">
        <v>75</v>
      </c>
      <c r="G10" s="24"/>
      <c r="H10" s="24"/>
      <c r="I10" s="24"/>
      <c r="J10" s="24"/>
      <c r="K10" s="24"/>
      <c r="L10" s="24"/>
      <c r="M10" s="24"/>
      <c r="N10" s="24"/>
      <c r="O10" s="16">
        <f>SUM(E10:N10)</f>
        <v>1075</v>
      </c>
      <c r="P10" s="16">
        <f>O10-M10-J10</f>
        <v>1075</v>
      </c>
      <c r="Q10" s="17">
        <f>P10*9%</f>
        <v>96.75</v>
      </c>
      <c r="R10" s="17"/>
      <c r="S10" s="17">
        <f>Q10+R10</f>
        <v>96.75</v>
      </c>
      <c r="T10" s="16">
        <f>P10+S10</f>
        <v>1171.75</v>
      </c>
      <c r="U10" s="18" t="s">
        <v>10</v>
      </c>
      <c r="V10" s="17">
        <f>+P10*13%</f>
        <v>139.75</v>
      </c>
    </row>
    <row r="11" spans="1:22" ht="15" thickBot="1">
      <c r="A11" s="45">
        <v>2</v>
      </c>
      <c r="B11" s="46" t="s">
        <v>15</v>
      </c>
      <c r="C11" s="47"/>
      <c r="D11" s="48">
        <v>5</v>
      </c>
      <c r="E11" s="49">
        <v>1000</v>
      </c>
      <c r="F11" s="50">
        <v>75</v>
      </c>
      <c r="G11" s="50"/>
      <c r="H11" s="50"/>
      <c r="I11" s="50"/>
      <c r="J11" s="50"/>
      <c r="K11" s="50">
        <v>1075</v>
      </c>
      <c r="L11" s="50"/>
      <c r="M11" s="50"/>
      <c r="N11" s="50"/>
      <c r="O11" s="16">
        <f>SUM(E11:N11)</f>
        <v>2150</v>
      </c>
      <c r="P11" s="16">
        <f>O11-M11-J11</f>
        <v>2150</v>
      </c>
      <c r="Q11" s="17">
        <f>P11*9%</f>
        <v>193.5</v>
      </c>
      <c r="R11" s="17"/>
      <c r="S11" s="17">
        <f>Q11+R11</f>
        <v>193.5</v>
      </c>
      <c r="T11" s="16">
        <f>P11+S11</f>
        <v>2343.5</v>
      </c>
      <c r="U11" s="18" t="s">
        <v>10</v>
      </c>
      <c r="V11" s="17">
        <f>+P11*13%</f>
        <v>279.5</v>
      </c>
    </row>
    <row r="12" spans="1:22" ht="14.25">
      <c r="A12" s="19">
        <v>1</v>
      </c>
      <c r="B12" s="20" t="s">
        <v>12</v>
      </c>
      <c r="C12" s="21"/>
      <c r="D12" s="22"/>
      <c r="E12" s="23">
        <v>750</v>
      </c>
      <c r="F12" s="24">
        <f>75+76</f>
        <v>151</v>
      </c>
      <c r="G12" s="24"/>
      <c r="H12" s="24"/>
      <c r="I12" s="24"/>
      <c r="J12" s="24"/>
      <c r="K12" s="24"/>
      <c r="L12" s="24"/>
      <c r="M12" s="24"/>
      <c r="N12" s="24"/>
      <c r="O12" s="16">
        <f>SUM(E12:N12)</f>
        <v>901</v>
      </c>
      <c r="P12" s="16">
        <f>O12-M12-J12</f>
        <v>901</v>
      </c>
      <c r="Q12" s="17">
        <f>P12*9%</f>
        <v>81.09</v>
      </c>
      <c r="R12" s="17"/>
      <c r="S12" s="17">
        <f>Q12+R12</f>
        <v>81.09</v>
      </c>
      <c r="T12" s="16">
        <f>P12+S12</f>
        <v>982.09</v>
      </c>
      <c r="U12" s="18" t="s">
        <v>10</v>
      </c>
      <c r="V12" s="17">
        <f>+P12*13%</f>
        <v>117.13000000000001</v>
      </c>
    </row>
    <row r="13" spans="1:22" ht="14.25">
      <c r="A13" s="25">
        <v>2</v>
      </c>
      <c r="B13" s="26" t="s">
        <v>11</v>
      </c>
      <c r="C13" s="27"/>
      <c r="D13" s="28">
        <v>5</v>
      </c>
      <c r="E13" s="29">
        <v>880</v>
      </c>
      <c r="F13" s="30">
        <f>88+88</f>
        <v>176</v>
      </c>
      <c r="G13" s="30"/>
      <c r="H13" s="30"/>
      <c r="I13" s="30"/>
      <c r="J13" s="30"/>
      <c r="K13" s="30"/>
      <c r="L13" s="30"/>
      <c r="M13" s="30">
        <v>80.5</v>
      </c>
      <c r="N13" s="30"/>
      <c r="O13" s="29">
        <f>SUM(E13:N13)</f>
        <v>1136.5</v>
      </c>
      <c r="P13" s="29">
        <f>O13-M13-J13</f>
        <v>1056</v>
      </c>
      <c r="Q13" s="30">
        <f>P13*9%</f>
        <v>95.03999999999999</v>
      </c>
      <c r="R13" s="30"/>
      <c r="S13" s="30">
        <f>Q13+R13</f>
        <v>95.03999999999999</v>
      </c>
      <c r="T13" s="29">
        <f>P13+S13</f>
        <v>1151.04</v>
      </c>
      <c r="U13" s="31" t="s">
        <v>8</v>
      </c>
      <c r="V13" s="30">
        <f>+P13*13.02%</f>
        <v>137.4912</v>
      </c>
    </row>
    <row r="14" spans="1:22" ht="13.5">
      <c r="A14" s="19">
        <v>3</v>
      </c>
      <c r="B14" s="20" t="s">
        <v>13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75"/>
      <c r="P14" s="75"/>
      <c r="Q14" s="75"/>
      <c r="R14" s="69"/>
      <c r="S14" s="75"/>
      <c r="T14" s="75"/>
      <c r="U14" s="69"/>
      <c r="V14" s="73"/>
    </row>
    <row r="15" spans="1:22" ht="14.25">
      <c r="A15" s="19">
        <v>3</v>
      </c>
      <c r="B15" s="20" t="s">
        <v>14</v>
      </c>
      <c r="C15" s="68"/>
      <c r="D15" s="70"/>
      <c r="E15" s="71">
        <v>750</v>
      </c>
      <c r="F15" s="72">
        <f>75+76</f>
        <v>151</v>
      </c>
      <c r="G15" s="72"/>
      <c r="H15" s="72"/>
      <c r="I15" s="72"/>
      <c r="J15" s="72"/>
      <c r="K15" s="72"/>
      <c r="L15" s="72"/>
      <c r="M15" s="72"/>
      <c r="N15" s="72"/>
      <c r="O15" s="71">
        <f>SUM(E15:N15)</f>
        <v>901</v>
      </c>
      <c r="P15" s="71">
        <f>O15-M15-J15</f>
        <v>901</v>
      </c>
      <c r="Q15" s="72">
        <f>P15*9%</f>
        <v>81.09</v>
      </c>
      <c r="R15" s="72"/>
      <c r="S15" s="72">
        <f>Q15+R15</f>
        <v>81.09</v>
      </c>
      <c r="T15" s="71">
        <f>P15+S15</f>
        <v>982.09</v>
      </c>
      <c r="U15" s="74" t="s">
        <v>10</v>
      </c>
      <c r="V15" s="72">
        <f>+P15*13%</f>
        <v>117.13000000000001</v>
      </c>
    </row>
  </sheetData>
  <sheetProtection/>
  <printOptions/>
  <pageMargins left="0.1968503937007874" right="0.15748031496062992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5"/>
  <sheetViews>
    <sheetView zoomScalePageLayoutView="0" workbookViewId="0" topLeftCell="A1">
      <selection activeCell="A14" sqref="A14:B14"/>
    </sheetView>
  </sheetViews>
  <sheetFormatPr defaultColWidth="11.421875" defaultRowHeight="12.75"/>
  <cols>
    <col min="1" max="1" width="3.421875" style="0" customWidth="1"/>
    <col min="2" max="2" width="28.8515625" style="0" customWidth="1"/>
    <col min="3" max="3" width="4.421875" style="0" customWidth="1"/>
    <col min="4" max="4" width="3.7109375" style="0" customWidth="1"/>
    <col min="5" max="5" width="10.00390625" style="0" customWidth="1"/>
    <col min="6" max="7" width="8.421875" style="0" customWidth="1"/>
    <col min="8" max="8" width="6.00390625" style="0" customWidth="1"/>
    <col min="9" max="9" width="5.8515625" style="0" customWidth="1"/>
    <col min="10" max="10" width="5.7109375" style="0" customWidth="1"/>
    <col min="11" max="11" width="8.421875" style="0" customWidth="1"/>
    <col min="12" max="12" width="5.00390625" style="0" customWidth="1"/>
    <col min="13" max="13" width="6.7109375" style="0" customWidth="1"/>
    <col min="14" max="14" width="5.140625" style="0" customWidth="1"/>
    <col min="15" max="15" width="9.28125" style="0" customWidth="1"/>
    <col min="16" max="16" width="9.421875" style="0" customWidth="1"/>
    <col min="17" max="17" width="8.7109375" style="0" customWidth="1"/>
    <col min="18" max="18" width="5.00390625" style="0" customWidth="1"/>
    <col min="19" max="19" width="8.421875" style="0" customWidth="1"/>
    <col min="20" max="20" width="9.28125" style="0" customWidth="1"/>
    <col min="21" max="21" width="7.00390625" style="0" customWidth="1"/>
    <col min="22" max="22" width="9.00390625" style="0" customWidth="1"/>
  </cols>
  <sheetData>
    <row r="1" spans="1:23" ht="15" thickBot="1">
      <c r="A1" s="45">
        <v>1</v>
      </c>
      <c r="B1" s="46" t="s">
        <v>23</v>
      </c>
      <c r="C1" s="47">
        <v>49</v>
      </c>
      <c r="D1" s="48">
        <v>5</v>
      </c>
      <c r="E1" s="49">
        <v>2500</v>
      </c>
      <c r="F1" s="50"/>
      <c r="G1" s="50"/>
      <c r="H1" s="50"/>
      <c r="I1" s="50"/>
      <c r="J1" s="50"/>
      <c r="K1" s="50"/>
      <c r="L1" s="50"/>
      <c r="M1" s="50"/>
      <c r="N1" s="50"/>
      <c r="O1" s="16">
        <f aca="true" t="shared" si="0" ref="O1:O13">SUM(E1:N1)</f>
        <v>2500</v>
      </c>
      <c r="P1" s="16">
        <f aca="true" t="shared" si="1" ref="P1:P13">O1-M1-J1</f>
        <v>2500</v>
      </c>
      <c r="Q1" s="17">
        <f aca="true" t="shared" si="2" ref="Q1:Q13">P1*9%</f>
        <v>225</v>
      </c>
      <c r="R1" s="17"/>
      <c r="S1" s="17">
        <f aca="true" t="shared" si="3" ref="S1:S13">Q1+R1</f>
        <v>225</v>
      </c>
      <c r="T1" s="16">
        <f aca="true" t="shared" si="4" ref="T1:T13">P1+S1</f>
        <v>2725</v>
      </c>
      <c r="U1" s="18" t="s">
        <v>8</v>
      </c>
      <c r="V1" s="17">
        <f>+P1*13.02%</f>
        <v>325.49999999999994</v>
      </c>
      <c r="W1" t="s">
        <v>25</v>
      </c>
    </row>
    <row r="2" spans="1:23" ht="15" thickBot="1">
      <c r="A2" s="51">
        <v>1</v>
      </c>
      <c r="B2" s="52" t="s">
        <v>1</v>
      </c>
      <c r="C2" s="53">
        <v>59</v>
      </c>
      <c r="D2" s="54">
        <v>5</v>
      </c>
      <c r="E2" s="55">
        <v>1789</v>
      </c>
      <c r="F2" s="56">
        <f>75+64</f>
        <v>139</v>
      </c>
      <c r="G2" s="56">
        <v>300</v>
      </c>
      <c r="H2" s="56"/>
      <c r="I2" s="56">
        <v>16.76</v>
      </c>
      <c r="J2" s="56"/>
      <c r="K2" s="56"/>
      <c r="L2" s="56"/>
      <c r="M2" s="56"/>
      <c r="N2" s="56"/>
      <c r="O2" s="16">
        <f t="shared" si="0"/>
        <v>2244.76</v>
      </c>
      <c r="P2" s="16">
        <f t="shared" si="1"/>
        <v>2244.76</v>
      </c>
      <c r="Q2" s="17">
        <f t="shared" si="2"/>
        <v>202.0284</v>
      </c>
      <c r="R2" s="17"/>
      <c r="S2" s="17">
        <f t="shared" si="3"/>
        <v>202.0284</v>
      </c>
      <c r="T2" s="16">
        <f t="shared" si="4"/>
        <v>2446.7884000000004</v>
      </c>
      <c r="U2" s="18" t="s">
        <v>6</v>
      </c>
      <c r="V2" s="17">
        <f>+P2*12.88%</f>
        <v>289.125088</v>
      </c>
      <c r="W2" t="s">
        <v>25</v>
      </c>
    </row>
    <row r="3" spans="1:23" ht="14.25">
      <c r="A3" s="19">
        <v>1</v>
      </c>
      <c r="B3" s="20" t="s">
        <v>4</v>
      </c>
      <c r="C3" s="21">
        <v>38</v>
      </c>
      <c r="D3" s="22"/>
      <c r="E3" s="23">
        <v>1666</v>
      </c>
      <c r="F3" s="24">
        <v>84</v>
      </c>
      <c r="G3" s="24">
        <v>250</v>
      </c>
      <c r="H3" s="24"/>
      <c r="I3" s="24"/>
      <c r="J3" s="24"/>
      <c r="K3" s="24"/>
      <c r="L3" s="24"/>
      <c r="M3" s="24">
        <v>96</v>
      </c>
      <c r="N3" s="24"/>
      <c r="O3" s="16">
        <f t="shared" si="0"/>
        <v>2096</v>
      </c>
      <c r="P3" s="16">
        <f t="shared" si="1"/>
        <v>2000</v>
      </c>
      <c r="Q3" s="17">
        <f t="shared" si="2"/>
        <v>180</v>
      </c>
      <c r="R3" s="17"/>
      <c r="S3" s="17">
        <f t="shared" si="3"/>
        <v>180</v>
      </c>
      <c r="T3" s="16">
        <f t="shared" si="4"/>
        <v>2180</v>
      </c>
      <c r="U3" s="18" t="s">
        <v>8</v>
      </c>
      <c r="V3" s="17">
        <f>+P3*13.02%</f>
        <v>260.4</v>
      </c>
      <c r="W3" t="s">
        <v>25</v>
      </c>
    </row>
    <row r="4" spans="1:23" ht="14.25">
      <c r="A4" s="12">
        <v>1</v>
      </c>
      <c r="B4" s="13" t="s">
        <v>18</v>
      </c>
      <c r="C4" s="14">
        <v>28</v>
      </c>
      <c r="D4" s="15">
        <v>5</v>
      </c>
      <c r="E4" s="16">
        <v>1782</v>
      </c>
      <c r="F4" s="17">
        <v>80</v>
      </c>
      <c r="G4" s="17">
        <v>300</v>
      </c>
      <c r="H4" s="17"/>
      <c r="I4" s="17">
        <v>22.84</v>
      </c>
      <c r="J4" s="17"/>
      <c r="K4" s="17"/>
      <c r="L4" s="17"/>
      <c r="M4" s="17"/>
      <c r="N4" s="17"/>
      <c r="O4" s="16">
        <f t="shared" si="0"/>
        <v>2184.84</v>
      </c>
      <c r="P4" s="16">
        <f t="shared" si="1"/>
        <v>2184.84</v>
      </c>
      <c r="Q4" s="17">
        <f t="shared" si="2"/>
        <v>196.6356</v>
      </c>
      <c r="R4" s="17"/>
      <c r="S4" s="17">
        <f t="shared" si="3"/>
        <v>196.6356</v>
      </c>
      <c r="T4" s="16">
        <f t="shared" si="4"/>
        <v>2381.4756</v>
      </c>
      <c r="U4" s="18" t="s">
        <v>8</v>
      </c>
      <c r="V4" s="17"/>
      <c r="W4" t="s">
        <v>25</v>
      </c>
    </row>
    <row r="5" spans="1:23" ht="14.25">
      <c r="A5" s="12">
        <v>2</v>
      </c>
      <c r="B5" s="13" t="s">
        <v>5</v>
      </c>
      <c r="C5" s="14">
        <v>19</v>
      </c>
      <c r="D5" s="15"/>
      <c r="E5" s="16">
        <v>1666</v>
      </c>
      <c r="F5" s="17">
        <f>75+88</f>
        <v>163</v>
      </c>
      <c r="G5" s="17">
        <v>40.25</v>
      </c>
      <c r="H5" s="17"/>
      <c r="I5" s="17"/>
      <c r="J5" s="17"/>
      <c r="K5" s="17"/>
      <c r="L5" s="17"/>
      <c r="M5" s="17"/>
      <c r="N5" s="17"/>
      <c r="O5" s="16">
        <f t="shared" si="0"/>
        <v>1869.25</v>
      </c>
      <c r="P5" s="16">
        <f t="shared" si="1"/>
        <v>1869.25</v>
      </c>
      <c r="Q5" s="17">
        <f t="shared" si="2"/>
        <v>168.2325</v>
      </c>
      <c r="R5" s="17"/>
      <c r="S5" s="17">
        <f t="shared" si="3"/>
        <v>168.2325</v>
      </c>
      <c r="T5" s="16">
        <f t="shared" si="4"/>
        <v>2037.4825</v>
      </c>
      <c r="U5" s="18" t="s">
        <v>8</v>
      </c>
      <c r="V5" s="17">
        <f>+P5*13.02%</f>
        <v>243.37634999999997</v>
      </c>
      <c r="W5" t="s">
        <v>25</v>
      </c>
    </row>
    <row r="6" spans="1:23" ht="14.25">
      <c r="A6" s="12">
        <v>2</v>
      </c>
      <c r="B6" s="13" t="s">
        <v>0</v>
      </c>
      <c r="C6" s="14">
        <v>79</v>
      </c>
      <c r="D6" s="15">
        <v>5</v>
      </c>
      <c r="E6" s="16">
        <v>1748</v>
      </c>
      <c r="F6" s="17">
        <f>75+92+125.7+188.55+62.85</f>
        <v>544.1</v>
      </c>
      <c r="G6" s="17">
        <v>300</v>
      </c>
      <c r="H6" s="17">
        <v>47.26</v>
      </c>
      <c r="I6" s="17">
        <v>15.28</v>
      </c>
      <c r="J6" s="17"/>
      <c r="K6" s="17"/>
      <c r="L6" s="17"/>
      <c r="M6" s="17">
        <v>92</v>
      </c>
      <c r="N6" s="17"/>
      <c r="O6" s="16">
        <f t="shared" si="0"/>
        <v>2746.6400000000003</v>
      </c>
      <c r="P6" s="16">
        <f t="shared" si="1"/>
        <v>2654.6400000000003</v>
      </c>
      <c r="Q6" s="17">
        <f t="shared" si="2"/>
        <v>238.91760000000002</v>
      </c>
      <c r="R6" s="17"/>
      <c r="S6" s="17">
        <f t="shared" si="3"/>
        <v>238.91760000000002</v>
      </c>
      <c r="T6" s="16">
        <f t="shared" si="4"/>
        <v>2893.5576000000005</v>
      </c>
      <c r="U6" s="18" t="s">
        <v>6</v>
      </c>
      <c r="V6" s="17">
        <f>+P6*12.88%</f>
        <v>341.917632</v>
      </c>
      <c r="W6" t="s">
        <v>25</v>
      </c>
    </row>
    <row r="7" spans="1:23" ht="14.25">
      <c r="A7" s="12">
        <v>3</v>
      </c>
      <c r="B7" s="13" t="s">
        <v>19</v>
      </c>
      <c r="C7" s="14">
        <v>25</v>
      </c>
      <c r="D7" s="15">
        <v>5</v>
      </c>
      <c r="E7" s="16">
        <v>1727</v>
      </c>
      <c r="F7" s="17">
        <f>75+92+120.13+180.2+60.07</f>
        <v>527.4</v>
      </c>
      <c r="G7" s="17"/>
      <c r="H7" s="17"/>
      <c r="I7" s="17"/>
      <c r="J7" s="17"/>
      <c r="K7" s="17"/>
      <c r="L7" s="17"/>
      <c r="M7" s="17">
        <v>80.5</v>
      </c>
      <c r="N7" s="17"/>
      <c r="O7" s="16">
        <f t="shared" si="0"/>
        <v>2334.9</v>
      </c>
      <c r="P7" s="16">
        <f t="shared" si="1"/>
        <v>2254.4</v>
      </c>
      <c r="Q7" s="17">
        <f t="shared" si="2"/>
        <v>202.896</v>
      </c>
      <c r="R7" s="17"/>
      <c r="S7" s="17">
        <f t="shared" si="3"/>
        <v>202.896</v>
      </c>
      <c r="T7" s="16">
        <f t="shared" si="4"/>
        <v>2457.2960000000003</v>
      </c>
      <c r="U7" s="18" t="s">
        <v>6</v>
      </c>
      <c r="V7" s="17">
        <f>+P7*12.88%</f>
        <v>290.36672</v>
      </c>
      <c r="W7" t="s">
        <v>25</v>
      </c>
    </row>
    <row r="8" spans="1:23" ht="15" thickBot="1">
      <c r="A8" s="45">
        <v>3</v>
      </c>
      <c r="B8" s="46" t="s">
        <v>2</v>
      </c>
      <c r="C8" s="47">
        <v>65</v>
      </c>
      <c r="D8" s="48">
        <v>5</v>
      </c>
      <c r="E8" s="49">
        <v>1782</v>
      </c>
      <c r="F8" s="50">
        <f>75+96+192.36</f>
        <v>363.36</v>
      </c>
      <c r="G8" s="50">
        <v>300</v>
      </c>
      <c r="H8" s="50">
        <v>50.33</v>
      </c>
      <c r="I8" s="50">
        <v>16.27</v>
      </c>
      <c r="J8" s="50"/>
      <c r="K8" s="50"/>
      <c r="L8" s="50"/>
      <c r="M8" s="50">
        <v>92</v>
      </c>
      <c r="N8" s="50"/>
      <c r="O8" s="16">
        <f t="shared" si="0"/>
        <v>2603.96</v>
      </c>
      <c r="P8" s="16">
        <f t="shared" si="1"/>
        <v>2511.96</v>
      </c>
      <c r="Q8" s="17">
        <f t="shared" si="2"/>
        <v>226.0764</v>
      </c>
      <c r="R8" s="17"/>
      <c r="S8" s="17">
        <f t="shared" si="3"/>
        <v>226.0764</v>
      </c>
      <c r="T8" s="16">
        <f t="shared" si="4"/>
        <v>2738.0364</v>
      </c>
      <c r="U8" s="18" t="s">
        <v>6</v>
      </c>
      <c r="V8" s="17">
        <f>+P8*12.88%</f>
        <v>323.540448</v>
      </c>
      <c r="W8" t="s">
        <v>25</v>
      </c>
    </row>
    <row r="9" spans="1:23" ht="14.25">
      <c r="A9" s="19">
        <v>1</v>
      </c>
      <c r="B9" s="20" t="s">
        <v>26</v>
      </c>
      <c r="C9" s="21"/>
      <c r="D9" s="22">
        <v>5</v>
      </c>
      <c r="E9" s="23">
        <v>1317.8</v>
      </c>
      <c r="F9" s="24"/>
      <c r="G9" s="24"/>
      <c r="H9" s="24"/>
      <c r="I9" s="24"/>
      <c r="J9" s="24"/>
      <c r="K9" s="24"/>
      <c r="L9" s="24"/>
      <c r="M9" s="24"/>
      <c r="N9" s="24"/>
      <c r="O9" s="16">
        <f t="shared" si="0"/>
        <v>1317.8</v>
      </c>
      <c r="P9" s="16">
        <f t="shared" si="1"/>
        <v>1317.8</v>
      </c>
      <c r="Q9" s="17">
        <f t="shared" si="2"/>
        <v>118.60199999999999</v>
      </c>
      <c r="R9" s="17"/>
      <c r="S9" s="17">
        <f t="shared" si="3"/>
        <v>118.60199999999999</v>
      </c>
      <c r="T9" s="16">
        <f t="shared" si="4"/>
        <v>1436.402</v>
      </c>
      <c r="U9" s="18" t="s">
        <v>27</v>
      </c>
      <c r="V9" s="17">
        <f>131.78+17.53+5.01</f>
        <v>154.32</v>
      </c>
      <c r="W9" t="s">
        <v>25</v>
      </c>
    </row>
    <row r="10" spans="1:23" ht="14.25">
      <c r="A10" s="12">
        <v>1</v>
      </c>
      <c r="B10" s="13" t="s">
        <v>20</v>
      </c>
      <c r="C10" s="14"/>
      <c r="D10" s="15"/>
      <c r="E10" s="16">
        <v>1000</v>
      </c>
      <c r="F10" s="17">
        <f>75+150</f>
        <v>225</v>
      </c>
      <c r="G10" s="17"/>
      <c r="H10" s="17"/>
      <c r="I10" s="17"/>
      <c r="J10" s="17"/>
      <c r="K10" s="17"/>
      <c r="L10" s="17"/>
      <c r="M10" s="17"/>
      <c r="N10" s="17"/>
      <c r="O10" s="16">
        <f t="shared" si="0"/>
        <v>1225</v>
      </c>
      <c r="P10" s="16">
        <f t="shared" si="1"/>
        <v>1225</v>
      </c>
      <c r="Q10" s="17">
        <f t="shared" si="2"/>
        <v>110.25</v>
      </c>
      <c r="R10" s="17"/>
      <c r="S10" s="17">
        <f t="shared" si="3"/>
        <v>110.25</v>
      </c>
      <c r="T10" s="16">
        <f t="shared" si="4"/>
        <v>1335.25</v>
      </c>
      <c r="U10" s="18" t="s">
        <v>10</v>
      </c>
      <c r="V10" s="17">
        <f>+P10*13%</f>
        <v>159.25</v>
      </c>
      <c r="W10" t="s">
        <v>25</v>
      </c>
    </row>
    <row r="11" spans="1:23" ht="15" thickBot="1">
      <c r="A11" s="45">
        <v>2</v>
      </c>
      <c r="B11" s="46" t="s">
        <v>15</v>
      </c>
      <c r="C11" s="47"/>
      <c r="D11" s="48">
        <v>5</v>
      </c>
      <c r="E11" s="49">
        <v>1000</v>
      </c>
      <c r="F11" s="50">
        <f>75+150</f>
        <v>225</v>
      </c>
      <c r="G11" s="50"/>
      <c r="H11" s="50"/>
      <c r="I11" s="50"/>
      <c r="J11" s="50"/>
      <c r="K11" s="50"/>
      <c r="L11" s="50"/>
      <c r="M11" s="50"/>
      <c r="N11" s="50"/>
      <c r="O11" s="16">
        <f t="shared" si="0"/>
        <v>1225</v>
      </c>
      <c r="P11" s="16">
        <f t="shared" si="1"/>
        <v>1225</v>
      </c>
      <c r="Q11" s="17">
        <f t="shared" si="2"/>
        <v>110.25</v>
      </c>
      <c r="R11" s="17"/>
      <c r="S11" s="17">
        <f t="shared" si="3"/>
        <v>110.25</v>
      </c>
      <c r="T11" s="16">
        <f t="shared" si="4"/>
        <v>1335.25</v>
      </c>
      <c r="U11" s="18" t="s">
        <v>10</v>
      </c>
      <c r="V11" s="17">
        <f>+P11*13%</f>
        <v>159.25</v>
      </c>
      <c r="W11" t="s">
        <v>25</v>
      </c>
    </row>
    <row r="12" spans="1:23" ht="14.25">
      <c r="A12" s="19">
        <v>1</v>
      </c>
      <c r="B12" s="20" t="s">
        <v>12</v>
      </c>
      <c r="C12" s="21"/>
      <c r="D12" s="22"/>
      <c r="E12" s="23">
        <v>750</v>
      </c>
      <c r="F12" s="24">
        <f>75+92</f>
        <v>167</v>
      </c>
      <c r="G12" s="24"/>
      <c r="H12" s="24"/>
      <c r="I12" s="24"/>
      <c r="J12" s="24"/>
      <c r="K12" s="24"/>
      <c r="L12" s="24"/>
      <c r="M12" s="24"/>
      <c r="N12" s="24"/>
      <c r="O12" s="16">
        <f t="shared" si="0"/>
        <v>917</v>
      </c>
      <c r="P12" s="16">
        <f t="shared" si="1"/>
        <v>917</v>
      </c>
      <c r="Q12" s="17">
        <f t="shared" si="2"/>
        <v>82.53</v>
      </c>
      <c r="R12" s="17"/>
      <c r="S12" s="17">
        <f t="shared" si="3"/>
        <v>82.53</v>
      </c>
      <c r="T12" s="16">
        <f t="shared" si="4"/>
        <v>999.53</v>
      </c>
      <c r="U12" s="18" t="s">
        <v>10</v>
      </c>
      <c r="V12" s="17">
        <f>+P12*13%</f>
        <v>119.21000000000001</v>
      </c>
      <c r="W12" t="s">
        <v>25</v>
      </c>
    </row>
    <row r="13" spans="1:23" ht="14.25">
      <c r="A13" s="25">
        <v>2</v>
      </c>
      <c r="B13" s="26" t="s">
        <v>11</v>
      </c>
      <c r="C13" s="27"/>
      <c r="D13" s="28">
        <v>5</v>
      </c>
      <c r="E13" s="29">
        <v>880</v>
      </c>
      <c r="F13" s="30">
        <f>92+58.67+88+29.33</f>
        <v>268</v>
      </c>
      <c r="G13" s="30"/>
      <c r="H13" s="30"/>
      <c r="I13" s="30"/>
      <c r="J13" s="30"/>
      <c r="K13" s="30"/>
      <c r="L13" s="30"/>
      <c r="M13" s="30">
        <v>92</v>
      </c>
      <c r="N13" s="30"/>
      <c r="O13" s="29">
        <f t="shared" si="0"/>
        <v>1240</v>
      </c>
      <c r="P13" s="29">
        <f t="shared" si="1"/>
        <v>1148</v>
      </c>
      <c r="Q13" s="30">
        <f t="shared" si="2"/>
        <v>103.32</v>
      </c>
      <c r="R13" s="30"/>
      <c r="S13" s="30">
        <f t="shared" si="3"/>
        <v>103.32</v>
      </c>
      <c r="T13" s="29">
        <f t="shared" si="4"/>
        <v>1251.32</v>
      </c>
      <c r="U13" s="31" t="s">
        <v>8</v>
      </c>
      <c r="V13" s="30">
        <f>+P13*13.02%</f>
        <v>149.46959999999999</v>
      </c>
      <c r="W13" t="s">
        <v>25</v>
      </c>
    </row>
    <row r="14" spans="1:22" ht="13.5">
      <c r="A14" s="19">
        <v>3</v>
      </c>
      <c r="B14" s="20" t="s">
        <v>13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75"/>
      <c r="P14" s="75"/>
      <c r="Q14" s="75"/>
      <c r="R14" s="69"/>
      <c r="S14" s="75"/>
      <c r="T14" s="75"/>
      <c r="U14" s="69"/>
      <c r="V14" s="73"/>
    </row>
    <row r="15" spans="1:23" ht="14.25">
      <c r="A15" s="19">
        <v>3</v>
      </c>
      <c r="B15" s="20" t="s">
        <v>14</v>
      </c>
      <c r="C15" s="68"/>
      <c r="D15" s="70"/>
      <c r="E15" s="71">
        <v>750</v>
      </c>
      <c r="F15" s="72">
        <f>75+92</f>
        <v>167</v>
      </c>
      <c r="G15" s="72"/>
      <c r="H15" s="72"/>
      <c r="I15" s="72"/>
      <c r="J15" s="72"/>
      <c r="K15" s="72"/>
      <c r="L15" s="72"/>
      <c r="M15" s="72"/>
      <c r="N15" s="72"/>
      <c r="O15" s="71">
        <f>SUM(E15:N15)</f>
        <v>917</v>
      </c>
      <c r="P15" s="71">
        <f>O15-M15-J15</f>
        <v>917</v>
      </c>
      <c r="Q15" s="72">
        <f>P15*9%</f>
        <v>82.53</v>
      </c>
      <c r="R15" s="72"/>
      <c r="S15" s="72">
        <f>Q15+R15</f>
        <v>82.53</v>
      </c>
      <c r="T15" s="71">
        <f>P15+S15</f>
        <v>999.53</v>
      </c>
      <c r="U15" s="74" t="s">
        <v>10</v>
      </c>
      <c r="V15" s="72">
        <f>+P15*13%</f>
        <v>119.21000000000001</v>
      </c>
      <c r="W15" t="s">
        <v>25</v>
      </c>
    </row>
  </sheetData>
  <sheetProtection/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G1">
      <selection activeCell="A1" sqref="A1:B16384"/>
    </sheetView>
  </sheetViews>
  <sheetFormatPr defaultColWidth="11.421875" defaultRowHeight="12.75"/>
  <cols>
    <col min="1" max="1" width="3.57421875" style="0" customWidth="1"/>
    <col min="2" max="2" width="28.57421875" style="0" customWidth="1"/>
    <col min="3" max="3" width="4.28125" style="0" customWidth="1"/>
    <col min="4" max="4" width="3.57421875" style="0" customWidth="1"/>
    <col min="5" max="5" width="9.8515625" style="0" customWidth="1"/>
    <col min="6" max="7" width="8.57421875" style="0" customWidth="1"/>
    <col min="8" max="8" width="7.00390625" style="0" customWidth="1"/>
    <col min="9" max="9" width="6.8515625" style="0" customWidth="1"/>
    <col min="10" max="10" width="9.57421875" style="0" customWidth="1"/>
    <col min="11" max="11" width="8.7109375" style="0" customWidth="1"/>
    <col min="12" max="12" width="6.140625" style="0" customWidth="1"/>
    <col min="13" max="13" width="8.28125" style="0" customWidth="1"/>
    <col min="14" max="14" width="7.421875" style="0" customWidth="1"/>
    <col min="15" max="15" width="9.7109375" style="0" customWidth="1"/>
    <col min="17" max="17" width="9.28125" style="0" customWidth="1"/>
    <col min="18" max="18" width="8.00390625" style="0" customWidth="1"/>
    <col min="19" max="19" width="9.140625" style="0" customWidth="1"/>
    <col min="20" max="20" width="9.8515625" style="0" customWidth="1"/>
    <col min="21" max="21" width="8.00390625" style="0" customWidth="1"/>
  </cols>
  <sheetData>
    <row r="1" spans="1:22" ht="15" thickBot="1">
      <c r="A1" s="45">
        <v>1</v>
      </c>
      <c r="B1" s="46" t="s">
        <v>23</v>
      </c>
      <c r="C1" s="47">
        <v>49</v>
      </c>
      <c r="D1" s="48">
        <v>5</v>
      </c>
      <c r="E1" s="49">
        <v>2500</v>
      </c>
      <c r="F1" s="50"/>
      <c r="G1" s="50"/>
      <c r="H1" s="50"/>
      <c r="I1" s="50"/>
      <c r="J1" s="50">
        <v>2725</v>
      </c>
      <c r="K1" s="50"/>
      <c r="L1" s="50"/>
      <c r="M1" s="50"/>
      <c r="N1" s="50"/>
      <c r="O1" s="16">
        <f aca="true" t="shared" si="0" ref="O1:O13">SUM(E1:N1)</f>
        <v>5225</v>
      </c>
      <c r="P1" s="16">
        <f aca="true" t="shared" si="1" ref="P1:P13">O1-M1-J1</f>
        <v>2500</v>
      </c>
      <c r="Q1" s="17">
        <f aca="true" t="shared" si="2" ref="Q1:Q13">P1*9%</f>
        <v>225</v>
      </c>
      <c r="R1" s="17"/>
      <c r="S1" s="17">
        <f aca="true" t="shared" si="3" ref="S1:S13">Q1+R1</f>
        <v>225</v>
      </c>
      <c r="T1" s="16">
        <f aca="true" t="shared" si="4" ref="T1:T13">P1+S1</f>
        <v>2725</v>
      </c>
      <c r="U1" s="18" t="s">
        <v>8</v>
      </c>
      <c r="V1" s="17">
        <f>+P1*13.02%</f>
        <v>325.49999999999994</v>
      </c>
    </row>
    <row r="2" spans="1:22" ht="15" thickBot="1">
      <c r="A2" s="51">
        <v>1</v>
      </c>
      <c r="B2" s="52" t="s">
        <v>1</v>
      </c>
      <c r="C2" s="53">
        <v>98</v>
      </c>
      <c r="D2" s="54">
        <v>5</v>
      </c>
      <c r="E2" s="55">
        <v>1789</v>
      </c>
      <c r="F2" s="56">
        <f>75+92+40+125.38+188.08+62.69</f>
        <v>583.1500000000001</v>
      </c>
      <c r="G2" s="56">
        <v>300</v>
      </c>
      <c r="H2" s="56"/>
      <c r="I2" s="56">
        <v>16.76</v>
      </c>
      <c r="J2" s="56">
        <v>2050.03</v>
      </c>
      <c r="K2" s="56"/>
      <c r="L2" s="56"/>
      <c r="M2" s="56">
        <v>80.5</v>
      </c>
      <c r="N2" s="56"/>
      <c r="O2" s="16">
        <f t="shared" si="0"/>
        <v>4819.4400000000005</v>
      </c>
      <c r="P2" s="16">
        <f t="shared" si="1"/>
        <v>2688.9100000000003</v>
      </c>
      <c r="Q2" s="17">
        <f t="shared" si="2"/>
        <v>242.0019</v>
      </c>
      <c r="R2" s="17"/>
      <c r="S2" s="17">
        <f t="shared" si="3"/>
        <v>242.0019</v>
      </c>
      <c r="T2" s="16">
        <f t="shared" si="4"/>
        <v>2930.9119000000005</v>
      </c>
      <c r="U2" s="18" t="s">
        <v>6</v>
      </c>
      <c r="V2" s="17">
        <f>+P2*12.88%</f>
        <v>346.331608</v>
      </c>
    </row>
    <row r="3" spans="1:22" ht="14.25">
      <c r="A3" s="19">
        <v>1</v>
      </c>
      <c r="B3" s="20" t="s">
        <v>4</v>
      </c>
      <c r="C3" s="21">
        <v>86</v>
      </c>
      <c r="D3" s="22"/>
      <c r="E3" s="23">
        <v>1666</v>
      </c>
      <c r="F3" s="24">
        <f>88+80</f>
        <v>168</v>
      </c>
      <c r="G3" s="24">
        <v>330.85</v>
      </c>
      <c r="H3" s="24"/>
      <c r="I3" s="24"/>
      <c r="J3" s="24">
        <v>1815.94</v>
      </c>
      <c r="K3" s="24"/>
      <c r="L3" s="24"/>
      <c r="M3" s="24">
        <v>160.4</v>
      </c>
      <c r="N3" s="24"/>
      <c r="O3" s="16">
        <f t="shared" si="0"/>
        <v>4141.19</v>
      </c>
      <c r="P3" s="16">
        <f t="shared" si="1"/>
        <v>2164.8499999999995</v>
      </c>
      <c r="Q3" s="17">
        <f t="shared" si="2"/>
        <v>194.83649999999994</v>
      </c>
      <c r="R3" s="17"/>
      <c r="S3" s="17">
        <f t="shared" si="3"/>
        <v>194.83649999999994</v>
      </c>
      <c r="T3" s="16">
        <f t="shared" si="4"/>
        <v>2359.6864999999993</v>
      </c>
      <c r="U3" s="18" t="s">
        <v>8</v>
      </c>
      <c r="V3" s="17">
        <f>+P3*13.02%</f>
        <v>281.8634699999999</v>
      </c>
    </row>
    <row r="4" spans="1:22" ht="14.25">
      <c r="A4" s="12">
        <v>1</v>
      </c>
      <c r="B4" s="13" t="s">
        <v>18</v>
      </c>
      <c r="C4" s="14">
        <v>48</v>
      </c>
      <c r="D4" s="15">
        <v>5</v>
      </c>
      <c r="E4" s="16">
        <v>1782</v>
      </c>
      <c r="F4" s="17">
        <f>84+72</f>
        <v>156</v>
      </c>
      <c r="G4" s="17">
        <v>300</v>
      </c>
      <c r="H4" s="17"/>
      <c r="I4" s="17">
        <v>22.84</v>
      </c>
      <c r="J4" s="17">
        <v>1967.28</v>
      </c>
      <c r="K4" s="17"/>
      <c r="L4" s="17"/>
      <c r="M4" s="17"/>
      <c r="N4" s="17"/>
      <c r="O4" s="16">
        <f t="shared" si="0"/>
        <v>4228.12</v>
      </c>
      <c r="P4" s="16">
        <f t="shared" si="1"/>
        <v>2260.84</v>
      </c>
      <c r="Q4" s="17">
        <f t="shared" si="2"/>
        <v>203.47560000000001</v>
      </c>
      <c r="R4" s="17"/>
      <c r="S4" s="17">
        <f t="shared" si="3"/>
        <v>203.47560000000001</v>
      </c>
      <c r="T4" s="16">
        <f t="shared" si="4"/>
        <v>2464.3156000000004</v>
      </c>
      <c r="U4" s="18" t="s">
        <v>8</v>
      </c>
      <c r="V4" s="17"/>
    </row>
    <row r="5" spans="1:22" ht="14.25">
      <c r="A5" s="12">
        <v>2</v>
      </c>
      <c r="B5" s="13" t="s">
        <v>5</v>
      </c>
      <c r="C5" s="14">
        <v>21</v>
      </c>
      <c r="D5" s="15"/>
      <c r="E5" s="16">
        <v>1666</v>
      </c>
      <c r="F5" s="17">
        <f>75+92+80+116.07+116.07+58.03</f>
        <v>537.17</v>
      </c>
      <c r="G5" s="17"/>
      <c r="H5" s="17"/>
      <c r="I5" s="17"/>
      <c r="J5" s="17">
        <v>1897.69</v>
      </c>
      <c r="K5" s="17"/>
      <c r="L5" s="17"/>
      <c r="M5" s="17">
        <f>34.5+23</f>
        <v>57.5</v>
      </c>
      <c r="N5" s="17"/>
      <c r="O5" s="16">
        <f t="shared" si="0"/>
        <v>4158.360000000001</v>
      </c>
      <c r="P5" s="16">
        <f t="shared" si="1"/>
        <v>2203.1700000000005</v>
      </c>
      <c r="Q5" s="17">
        <f t="shared" si="2"/>
        <v>198.28530000000003</v>
      </c>
      <c r="R5" s="17"/>
      <c r="S5" s="17">
        <f t="shared" si="3"/>
        <v>198.28530000000003</v>
      </c>
      <c r="T5" s="16">
        <f t="shared" si="4"/>
        <v>2401.4553000000005</v>
      </c>
      <c r="U5" s="18" t="s">
        <v>8</v>
      </c>
      <c r="V5" s="17">
        <f>+P5*13.02%</f>
        <v>286.85273400000005</v>
      </c>
    </row>
    <row r="6" spans="1:22" ht="14.25">
      <c r="A6" s="12">
        <v>2</v>
      </c>
      <c r="B6" s="13" t="s">
        <v>0</v>
      </c>
      <c r="C6" s="14"/>
      <c r="D6" s="15">
        <v>5</v>
      </c>
      <c r="E6" s="16">
        <v>1748</v>
      </c>
      <c r="F6" s="17">
        <f>75+56+64+125.7+125.7+251.41+125.7</f>
        <v>823.51</v>
      </c>
      <c r="G6" s="17">
        <v>300</v>
      </c>
      <c r="H6" s="17">
        <v>47.26</v>
      </c>
      <c r="I6" s="17">
        <v>15.28</v>
      </c>
      <c r="J6" s="17">
        <v>2146.58</v>
      </c>
      <c r="K6" s="17"/>
      <c r="L6" s="17"/>
      <c r="M6" s="17">
        <f>57.5+57.5</f>
        <v>115</v>
      </c>
      <c r="N6" s="17"/>
      <c r="O6" s="16">
        <f t="shared" si="0"/>
        <v>5195.630000000001</v>
      </c>
      <c r="P6" s="16">
        <f t="shared" si="1"/>
        <v>2934.050000000001</v>
      </c>
      <c r="Q6" s="17">
        <f t="shared" si="2"/>
        <v>264.06450000000007</v>
      </c>
      <c r="R6" s="17"/>
      <c r="S6" s="17">
        <f t="shared" si="3"/>
        <v>264.06450000000007</v>
      </c>
      <c r="T6" s="16">
        <f t="shared" si="4"/>
        <v>3198.114500000001</v>
      </c>
      <c r="U6" s="18" t="s">
        <v>6</v>
      </c>
      <c r="V6" s="17">
        <f>+P6*12.88%</f>
        <v>377.9056400000001</v>
      </c>
    </row>
    <row r="7" spans="1:22" ht="14.25">
      <c r="A7" s="12">
        <v>3</v>
      </c>
      <c r="B7" s="13" t="s">
        <v>19</v>
      </c>
      <c r="C7" s="14">
        <v>160</v>
      </c>
      <c r="D7" s="15">
        <v>5</v>
      </c>
      <c r="E7" s="16">
        <v>1727</v>
      </c>
      <c r="F7" s="17">
        <f>75</f>
        <v>75</v>
      </c>
      <c r="G7" s="17"/>
      <c r="H7" s="17"/>
      <c r="I7" s="17"/>
      <c r="J7" s="17">
        <v>2030.56</v>
      </c>
      <c r="K7" s="17">
        <v>1802</v>
      </c>
      <c r="L7" s="17"/>
      <c r="M7" s="17">
        <v>80.5</v>
      </c>
      <c r="N7" s="17"/>
      <c r="O7" s="16">
        <f t="shared" si="0"/>
        <v>5715.0599999999995</v>
      </c>
      <c r="P7" s="16">
        <f t="shared" si="1"/>
        <v>3603.9999999999995</v>
      </c>
      <c r="Q7" s="17">
        <f t="shared" si="2"/>
        <v>324.35999999999996</v>
      </c>
      <c r="R7" s="17"/>
      <c r="S7" s="17">
        <f t="shared" si="3"/>
        <v>324.35999999999996</v>
      </c>
      <c r="T7" s="16">
        <f t="shared" si="4"/>
        <v>3928.3599999999997</v>
      </c>
      <c r="U7" s="18" t="s">
        <v>6</v>
      </c>
      <c r="V7" s="17">
        <f>+P7*12.88%</f>
        <v>464.19519999999994</v>
      </c>
    </row>
    <row r="8" spans="1:22" ht="15" thickBot="1">
      <c r="A8" s="45">
        <v>3</v>
      </c>
      <c r="B8" s="46" t="s">
        <v>2</v>
      </c>
      <c r="C8" s="47">
        <v>179</v>
      </c>
      <c r="D8" s="48">
        <v>5</v>
      </c>
      <c r="E8" s="49">
        <v>1782</v>
      </c>
      <c r="F8" s="50">
        <f>75+92+88+256.48+384.72+128.24</f>
        <v>1024.44</v>
      </c>
      <c r="G8" s="50">
        <v>300</v>
      </c>
      <c r="H8" s="50">
        <v>50.33</v>
      </c>
      <c r="I8" s="50">
        <v>16.27</v>
      </c>
      <c r="J8" s="50">
        <v>2096.72</v>
      </c>
      <c r="K8" s="50"/>
      <c r="L8" s="50"/>
      <c r="M8" s="50">
        <f>92+80.5</f>
        <v>172.5</v>
      </c>
      <c r="N8" s="50"/>
      <c r="O8" s="16">
        <f t="shared" si="0"/>
        <v>5442.26</v>
      </c>
      <c r="P8" s="16">
        <f t="shared" si="1"/>
        <v>3173.0400000000004</v>
      </c>
      <c r="Q8" s="17">
        <f t="shared" si="2"/>
        <v>285.5736</v>
      </c>
      <c r="R8" s="17"/>
      <c r="S8" s="17">
        <f t="shared" si="3"/>
        <v>285.5736</v>
      </c>
      <c r="T8" s="16">
        <f t="shared" si="4"/>
        <v>3458.6136000000006</v>
      </c>
      <c r="U8" s="18" t="s">
        <v>6</v>
      </c>
      <c r="V8" s="17">
        <f>+P8*12.88%</f>
        <v>408.68755200000004</v>
      </c>
    </row>
    <row r="9" spans="1:22" ht="14.25">
      <c r="A9" s="19">
        <v>1</v>
      </c>
      <c r="B9" s="20" t="s">
        <v>26</v>
      </c>
      <c r="C9" s="21"/>
      <c r="D9" s="22">
        <v>5</v>
      </c>
      <c r="E9" s="23">
        <v>1797</v>
      </c>
      <c r="F9" s="24"/>
      <c r="G9" s="24"/>
      <c r="H9" s="24"/>
      <c r="I9" s="24"/>
      <c r="J9" s="24">
        <v>565.85</v>
      </c>
      <c r="K9" s="24"/>
      <c r="L9" s="24"/>
      <c r="M9" s="24"/>
      <c r="N9" s="24"/>
      <c r="O9" s="16">
        <f t="shared" si="0"/>
        <v>2362.85</v>
      </c>
      <c r="P9" s="16">
        <f t="shared" si="1"/>
        <v>1797</v>
      </c>
      <c r="Q9" s="17">
        <f t="shared" si="2"/>
        <v>161.73</v>
      </c>
      <c r="R9" s="17"/>
      <c r="S9" s="17">
        <f t="shared" si="3"/>
        <v>161.73</v>
      </c>
      <c r="T9" s="16">
        <f t="shared" si="4"/>
        <v>1958.73</v>
      </c>
      <c r="U9" s="18" t="s">
        <v>27</v>
      </c>
      <c r="V9" s="17">
        <f>131.78+17.53+5.01</f>
        <v>154.32</v>
      </c>
    </row>
    <row r="10" spans="1:22" ht="14.25">
      <c r="A10" s="12">
        <v>1</v>
      </c>
      <c r="B10" s="13" t="s">
        <v>20</v>
      </c>
      <c r="C10" s="14"/>
      <c r="D10" s="15"/>
      <c r="E10" s="16">
        <v>1000</v>
      </c>
      <c r="F10" s="17">
        <f>75</f>
        <v>75</v>
      </c>
      <c r="G10" s="17"/>
      <c r="H10" s="17"/>
      <c r="I10" s="17"/>
      <c r="J10" s="17">
        <v>1171.75</v>
      </c>
      <c r="K10" s="17"/>
      <c r="L10" s="17"/>
      <c r="M10" s="17"/>
      <c r="N10" s="17"/>
      <c r="O10" s="16">
        <f t="shared" si="0"/>
        <v>2246.75</v>
      </c>
      <c r="P10" s="16">
        <f t="shared" si="1"/>
        <v>1075</v>
      </c>
      <c r="Q10" s="17">
        <f t="shared" si="2"/>
        <v>96.75</v>
      </c>
      <c r="R10" s="17"/>
      <c r="S10" s="17">
        <f t="shared" si="3"/>
        <v>96.75</v>
      </c>
      <c r="T10" s="16">
        <f t="shared" si="4"/>
        <v>1171.75</v>
      </c>
      <c r="U10" s="18" t="s">
        <v>10</v>
      </c>
      <c r="V10" s="17">
        <f>+P10*13%</f>
        <v>139.75</v>
      </c>
    </row>
    <row r="11" spans="1:22" ht="15" thickBot="1">
      <c r="A11" s="45">
        <v>2</v>
      </c>
      <c r="B11" s="46" t="s">
        <v>15</v>
      </c>
      <c r="C11" s="47"/>
      <c r="D11" s="48">
        <v>5</v>
      </c>
      <c r="E11" s="49">
        <v>1000</v>
      </c>
      <c r="F11" s="50">
        <f>75+150</f>
        <v>225</v>
      </c>
      <c r="G11" s="50"/>
      <c r="H11" s="50"/>
      <c r="I11" s="50"/>
      <c r="J11" s="50">
        <v>1171.75</v>
      </c>
      <c r="K11" s="50"/>
      <c r="L11" s="50"/>
      <c r="M11" s="50"/>
      <c r="N11" s="50"/>
      <c r="O11" s="16">
        <f t="shared" si="0"/>
        <v>2396.75</v>
      </c>
      <c r="P11" s="16">
        <f t="shared" si="1"/>
        <v>1225</v>
      </c>
      <c r="Q11" s="17">
        <f t="shared" si="2"/>
        <v>110.25</v>
      </c>
      <c r="R11" s="17"/>
      <c r="S11" s="17">
        <f t="shared" si="3"/>
        <v>110.25</v>
      </c>
      <c r="T11" s="16">
        <f t="shared" si="4"/>
        <v>1335.25</v>
      </c>
      <c r="U11" s="18" t="s">
        <v>10</v>
      </c>
      <c r="V11" s="17">
        <f>+P11*13%</f>
        <v>159.25</v>
      </c>
    </row>
    <row r="12" spans="1:22" ht="14.25">
      <c r="A12" s="19">
        <v>1</v>
      </c>
      <c r="B12" s="20" t="s">
        <v>12</v>
      </c>
      <c r="C12" s="21"/>
      <c r="D12" s="22"/>
      <c r="E12" s="23">
        <v>750</v>
      </c>
      <c r="F12" s="24">
        <f>75+88+88</f>
        <v>251</v>
      </c>
      <c r="G12" s="24"/>
      <c r="H12" s="24"/>
      <c r="I12" s="24"/>
      <c r="J12" s="24">
        <v>899.25</v>
      </c>
      <c r="K12" s="24"/>
      <c r="L12" s="24"/>
      <c r="M12" s="24"/>
      <c r="N12" s="24"/>
      <c r="O12" s="16">
        <f t="shared" si="0"/>
        <v>1900.25</v>
      </c>
      <c r="P12" s="16">
        <f t="shared" si="1"/>
        <v>1001</v>
      </c>
      <c r="Q12" s="17">
        <f t="shared" si="2"/>
        <v>90.09</v>
      </c>
      <c r="R12" s="17"/>
      <c r="S12" s="17">
        <f t="shared" si="3"/>
        <v>90.09</v>
      </c>
      <c r="T12" s="16">
        <f t="shared" si="4"/>
        <v>1091.09</v>
      </c>
      <c r="U12" s="18" t="s">
        <v>10</v>
      </c>
      <c r="V12" s="17">
        <f>+P12*13%</f>
        <v>130.13</v>
      </c>
    </row>
    <row r="13" spans="1:22" ht="14.25">
      <c r="A13" s="25">
        <v>2</v>
      </c>
      <c r="B13" s="26" t="s">
        <v>11</v>
      </c>
      <c r="C13" s="27"/>
      <c r="D13" s="28">
        <v>5</v>
      </c>
      <c r="E13" s="29">
        <v>880</v>
      </c>
      <c r="F13" s="30">
        <f>96+92+58.67+58.67+176+58.67</f>
        <v>540.01</v>
      </c>
      <c r="G13" s="30"/>
      <c r="H13" s="30"/>
      <c r="I13" s="30"/>
      <c r="J13" s="30">
        <v>1001.83</v>
      </c>
      <c r="K13" s="30"/>
      <c r="L13" s="30"/>
      <c r="M13" s="30">
        <f>80.5+92</f>
        <v>172.5</v>
      </c>
      <c r="N13" s="30"/>
      <c r="O13" s="29">
        <f t="shared" si="0"/>
        <v>2594.34</v>
      </c>
      <c r="P13" s="29">
        <f t="shared" si="1"/>
        <v>1420.0100000000002</v>
      </c>
      <c r="Q13" s="30">
        <f t="shared" si="2"/>
        <v>127.80090000000001</v>
      </c>
      <c r="R13" s="30"/>
      <c r="S13" s="30">
        <f t="shared" si="3"/>
        <v>127.80090000000001</v>
      </c>
      <c r="T13" s="29">
        <f t="shared" si="4"/>
        <v>1547.8109000000002</v>
      </c>
      <c r="U13" s="31" t="s">
        <v>8</v>
      </c>
      <c r="V13" s="30">
        <f>+P13*13.02%</f>
        <v>184.885302</v>
      </c>
    </row>
    <row r="14" spans="1:22" ht="13.5">
      <c r="A14" s="19">
        <v>3</v>
      </c>
      <c r="B14" s="20" t="s">
        <v>13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75"/>
      <c r="P14" s="75"/>
      <c r="Q14" s="75"/>
      <c r="R14" s="69"/>
      <c r="S14" s="75"/>
      <c r="T14" s="75"/>
      <c r="U14" s="69"/>
      <c r="V14" s="73"/>
    </row>
    <row r="15" spans="1:22" ht="14.25">
      <c r="A15" s="19">
        <v>3</v>
      </c>
      <c r="B15" s="20" t="s">
        <v>14</v>
      </c>
      <c r="C15" s="68"/>
      <c r="D15" s="70"/>
      <c r="E15" s="71">
        <v>750</v>
      </c>
      <c r="F15" s="72">
        <f>75+88+88</f>
        <v>251</v>
      </c>
      <c r="G15" s="72"/>
      <c r="H15" s="72"/>
      <c r="I15" s="72"/>
      <c r="J15" s="72">
        <v>899.25</v>
      </c>
      <c r="K15" s="72"/>
      <c r="L15" s="72"/>
      <c r="M15" s="72"/>
      <c r="N15" s="72"/>
      <c r="O15" s="71">
        <f>SUM(E15:N15)</f>
        <v>1900.25</v>
      </c>
      <c r="P15" s="71">
        <f>O15-M15-J15</f>
        <v>1001</v>
      </c>
      <c r="Q15" s="72">
        <f>P15*9%</f>
        <v>90.09</v>
      </c>
      <c r="R15" s="72"/>
      <c r="S15" s="72">
        <f>Q15+R15</f>
        <v>90.09</v>
      </c>
      <c r="T15" s="71">
        <f>P15+S15</f>
        <v>1091.09</v>
      </c>
      <c r="U15" s="74" t="s">
        <v>10</v>
      </c>
      <c r="V15" s="72">
        <f>+P15*13%</f>
        <v>130.13</v>
      </c>
    </row>
  </sheetData>
  <sheetProtection/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Q45"/>
  <sheetViews>
    <sheetView tabSelected="1" zoomScalePageLayoutView="0" workbookViewId="0" topLeftCell="A25">
      <selection activeCell="M45" sqref="M45"/>
    </sheetView>
  </sheetViews>
  <sheetFormatPr defaultColWidth="11.421875" defaultRowHeight="12.75"/>
  <cols>
    <col min="1" max="1" width="3.57421875" style="85" customWidth="1"/>
    <col min="2" max="2" width="28.57421875" style="85" customWidth="1"/>
    <col min="3" max="16384" width="11.421875" style="85" customWidth="1"/>
  </cols>
  <sheetData>
    <row r="1" ht="13.5"/>
    <row r="2" ht="13.5"/>
    <row r="3" ht="13.5"/>
    <row r="4" spans="1:17" ht="15">
      <c r="A4" s="106" t="s">
        <v>61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</row>
    <row r="5" spans="1:17" ht="15">
      <c r="A5" s="106" t="s">
        <v>62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</row>
    <row r="6" ht="13.5"/>
    <row r="7" ht="13.5"/>
    <row r="8" spans="1:17" ht="14.25" customHeight="1">
      <c r="A8" s="98" t="s">
        <v>30</v>
      </c>
      <c r="B8" s="98"/>
      <c r="C8" s="98" t="s">
        <v>33</v>
      </c>
      <c r="D8" s="98"/>
      <c r="E8" s="98"/>
      <c r="F8" s="98"/>
      <c r="G8" s="98"/>
      <c r="H8" s="98"/>
      <c r="I8" s="98"/>
      <c r="J8" s="98"/>
      <c r="K8" s="98"/>
      <c r="L8" s="98"/>
      <c r="M8" s="98" t="s">
        <v>34</v>
      </c>
      <c r="N8" s="98" t="s">
        <v>52</v>
      </c>
      <c r="O8" s="98" t="s">
        <v>35</v>
      </c>
      <c r="P8" s="98"/>
      <c r="Q8" s="98"/>
    </row>
    <row r="9" spans="1:17" ht="51">
      <c r="A9" s="98"/>
      <c r="B9" s="98"/>
      <c r="C9" s="93" t="s">
        <v>50</v>
      </c>
      <c r="D9" s="93" t="s">
        <v>51</v>
      </c>
      <c r="E9" s="93" t="s">
        <v>39</v>
      </c>
      <c r="F9" s="93" t="s">
        <v>40</v>
      </c>
      <c r="G9" s="93" t="s">
        <v>41</v>
      </c>
      <c r="H9" s="93" t="s">
        <v>42</v>
      </c>
      <c r="I9" s="93" t="s">
        <v>43</v>
      </c>
      <c r="J9" s="93" t="s">
        <v>44</v>
      </c>
      <c r="K9" s="93" t="s">
        <v>45</v>
      </c>
      <c r="L9" s="93" t="s">
        <v>46</v>
      </c>
      <c r="M9" s="98"/>
      <c r="N9" s="98"/>
      <c r="O9" s="93" t="s">
        <v>47</v>
      </c>
      <c r="P9" s="93" t="s">
        <v>48</v>
      </c>
      <c r="Q9" s="93" t="s">
        <v>49</v>
      </c>
    </row>
    <row r="10" ht="3" customHeight="1"/>
    <row r="11" spans="1:2" ht="15" customHeight="1">
      <c r="A11" s="100" t="s">
        <v>53</v>
      </c>
      <c r="B11" s="100"/>
    </row>
    <row r="12" spans="1:2" ht="15" customHeight="1">
      <c r="A12" s="101" t="s">
        <v>54</v>
      </c>
      <c r="B12" s="101"/>
    </row>
    <row r="13" spans="1:17" ht="15" customHeight="1">
      <c r="A13" s="77">
        <v>1</v>
      </c>
      <c r="B13" s="78" t="s">
        <v>23</v>
      </c>
      <c r="C13" s="79">
        <f>+'ENERO-15'!E1+'FEBRERO-15'!E1+'MARZO-15'!E1+'ABRIL-15'!E1+'MAYO-15'!E1+'JUNIO-15'!E1+'JULIO-15'!E1+'AGOSTO-15'!E1+'SETIEMBRE-15'!E1+'OCTUBRE-15'!E1+'NOVIEMBRE-15'!E1+'DICIEMBRE 2015'!E1</f>
        <v>28500</v>
      </c>
      <c r="D13" s="79">
        <f>+'ENERO-15'!F1+'FEBRERO-15'!F1+'MARZO-15'!F1+'ABRIL-15'!F1+'MAYO-15'!F1+'JUNIO-15'!F1+'JULIO-15'!F1+'AGOSTO-15'!F1+'SETIEMBRE-15'!F1+'OCTUBRE-15'!F1+'NOVIEMBRE-15'!F1+'DICIEMBRE 2015'!F1</f>
        <v>0</v>
      </c>
      <c r="E13" s="79">
        <f>+'ENERO-15'!G1+'FEBRERO-15'!G1+'MARZO-15'!G1+'ABRIL-15'!G1+'MAYO-15'!G1+'JUNIO-15'!G1+'JULIO-15'!G1+'AGOSTO-15'!G1+'SETIEMBRE-15'!G1+'OCTUBRE-15'!G1+'NOVIEMBRE-15'!G1+'DICIEMBRE 2015'!G1</f>
        <v>0</v>
      </c>
      <c r="F13" s="79">
        <f>+'ENERO-15'!H1+'FEBRERO-15'!H1+'MARZO-15'!H1+'ABRIL-15'!H1+'MAYO-15'!H1+'JUNIO-15'!H1+'JULIO-15'!H1+'AGOSTO-15'!H1+'SETIEMBRE-15'!H1+'OCTUBRE-15'!H1+'NOVIEMBRE-15'!H1+'DICIEMBRE 2015'!H1</f>
        <v>0</v>
      </c>
      <c r="G13" s="79">
        <f>+'ENERO-15'!I1+'FEBRERO-15'!I1+'MARZO-15'!I1+'ABRIL-15'!I1+'MAYO-15'!I1+'JUNIO-15'!I1+'JULIO-15'!I1+'AGOSTO-15'!I1+'SETIEMBRE-15'!I1+'OCTUBRE-15'!I1+'NOVIEMBRE-15'!I1+'DICIEMBRE 2015'!I1</f>
        <v>0</v>
      </c>
      <c r="H13" s="79">
        <f>+'ENERO-15'!J1+'FEBRERO-15'!J1+'MARZO-15'!J1+'ABRIL-15'!J1+'MAYO-15'!J1+'JUNIO-15'!J1+'JULIO-15'!J1+'AGOSTO-15'!J1+'SETIEMBRE-15'!J1+'OCTUBRE-15'!J1+'NOVIEMBRE-15'!J1+'DICIEMBRE 2015'!J1</f>
        <v>5192.639999999999</v>
      </c>
      <c r="I13" s="79">
        <f>+'ENERO-15'!K1+'FEBRERO-15'!K1+'MARZO-15'!K1+'ABRIL-15'!K1+'MAYO-15'!K1+'JUNIO-15'!K1+'JULIO-15'!K1+'AGOSTO-15'!K1+'SETIEMBRE-15'!K1+'OCTUBRE-15'!K1+'NOVIEMBRE-15'!K1+'DICIEMBRE 2015'!K1</f>
        <v>0</v>
      </c>
      <c r="J13" s="79">
        <f>+'ENERO-15'!L1+'FEBRERO-15'!L1+'MARZO-15'!L1+'ABRIL-15'!L1+'MAYO-15'!L1+'JUNIO-15'!L1+'JULIO-15'!L1+'AGOSTO-15'!L1+'SETIEMBRE-15'!L1+'OCTUBRE-15'!L1+'NOVIEMBRE-15'!L1+'DICIEMBRE 2015'!L1</f>
        <v>0</v>
      </c>
      <c r="K13" s="79">
        <f>+'ENERO-15'!M1+'FEBRERO-15'!M1+'MARZO-15'!M1+'ABRIL-15'!M1+'MAYO-15'!M1+'JUNIO-15'!M1+'JULIO-15'!M1+'AGOSTO-15'!M1+'SETIEMBRE-15'!M1+'OCTUBRE-15'!M1+'NOVIEMBRE-15'!M1+'DICIEMBRE 2015'!M1</f>
        <v>0</v>
      </c>
      <c r="L13" s="79">
        <f>+'ENERO-15'!N1+'FEBRERO-15'!N1+'MARZO-15'!N1+'ABRIL-15'!N1+'MAYO-15'!N1+'JUNIO-15'!N1+'JULIO-15'!N1+'AGOSTO-15'!N1+'SETIEMBRE-15'!N1+'OCTUBRE-15'!N1+'NOVIEMBRE-15'!N1+'DICIEMBRE 2015'!N1</f>
        <v>0</v>
      </c>
      <c r="M13" s="79">
        <f>+'ENERO-15'!O1+'FEBRERO-15'!O1+'MARZO-15'!O1+'ABRIL-15'!O1+'MAYO-15'!O1+'JUNIO-15'!O1+'JULIO-15'!O1+'AGOSTO-15'!O1+'SETIEMBRE-15'!O1+'OCTUBRE-15'!O1+'NOVIEMBRE-15'!O1+'DICIEMBRE 2015'!O1</f>
        <v>33692.64</v>
      </c>
      <c r="N13" s="79">
        <f>+'ENERO-15'!P1+'FEBRERO-15'!P1+'MARZO-15'!P1+'ABRIL-15'!P1+'MAYO-15'!P1+'JUNIO-15'!P1+'JULIO-15'!P1+'AGOSTO-15'!P1+'SETIEMBRE-15'!P1+'OCTUBRE-15'!P1+'NOVIEMBRE-15'!P1+'DICIEMBRE 2015'!P1</f>
        <v>28500</v>
      </c>
      <c r="O13" s="79">
        <f>+'ENERO-15'!Q1+'FEBRERO-15'!Q1+'MARZO-15'!Q1+'ABRIL-15'!Q1+'MAYO-15'!Q1+'JUNIO-15'!Q1+'JULIO-15'!Q1+'AGOSTO-15'!Q1+'SETIEMBRE-15'!Q1+'OCTUBRE-15'!Q1+'NOVIEMBRE-15'!Q1+'DICIEMBRE 2015'!Q1</f>
        <v>2565</v>
      </c>
      <c r="P13" s="79">
        <f>+'ENERO-15'!R1+'FEBRERO-15'!R1+'MARZO-15'!R1+'ABRIL-15'!R1+'MAYO-15'!R1+'JUNIO-15'!R1+'JULIO-15'!R1+'AGOSTO-15'!R1+'SETIEMBRE-15'!R1+'OCTUBRE-15'!R1+'NOVIEMBRE-15'!R1+'DICIEMBRE 2015'!R1</f>
        <v>0</v>
      </c>
      <c r="Q13" s="79">
        <f>+'ENERO-15'!S1+'FEBRERO-15'!S1+'MARZO-15'!S1+'ABRIL-15'!S1+'MAYO-15'!S1+'JUNIO-15'!S1+'JULIO-15'!S1+'AGOSTO-15'!S1+'SETIEMBRE-15'!S1+'OCTUBRE-15'!S1+'NOVIEMBRE-15'!S1+'DICIEMBRE 2015'!S1</f>
        <v>2565</v>
      </c>
    </row>
    <row r="14" spans="1:17" s="95" customFormat="1" ht="15" customHeight="1" thickBot="1">
      <c r="A14" s="102" t="s">
        <v>63</v>
      </c>
      <c r="B14" s="103"/>
      <c r="C14" s="94">
        <f>SUM(C13)</f>
        <v>28500</v>
      </c>
      <c r="D14" s="94">
        <f aca="true" t="shared" si="0" ref="D14:Q14">SUM(D13)</f>
        <v>0</v>
      </c>
      <c r="E14" s="94">
        <f t="shared" si="0"/>
        <v>0</v>
      </c>
      <c r="F14" s="94">
        <f t="shared" si="0"/>
        <v>0</v>
      </c>
      <c r="G14" s="94">
        <f t="shared" si="0"/>
        <v>0</v>
      </c>
      <c r="H14" s="94">
        <f t="shared" si="0"/>
        <v>5192.639999999999</v>
      </c>
      <c r="I14" s="94">
        <f t="shared" si="0"/>
        <v>0</v>
      </c>
      <c r="J14" s="94">
        <f t="shared" si="0"/>
        <v>0</v>
      </c>
      <c r="K14" s="94">
        <f t="shared" si="0"/>
        <v>0</v>
      </c>
      <c r="L14" s="94">
        <f t="shared" si="0"/>
        <v>0</v>
      </c>
      <c r="M14" s="94">
        <f t="shared" si="0"/>
        <v>33692.64</v>
      </c>
      <c r="N14" s="94">
        <f t="shared" si="0"/>
        <v>28500</v>
      </c>
      <c r="O14" s="94">
        <f t="shared" si="0"/>
        <v>2565</v>
      </c>
      <c r="P14" s="94">
        <f t="shared" si="0"/>
        <v>0</v>
      </c>
      <c r="Q14" s="94">
        <f t="shared" si="0"/>
        <v>2565</v>
      </c>
    </row>
    <row r="15" spans="1:17" ht="15" customHeight="1" thickTop="1">
      <c r="A15" s="91"/>
      <c r="B15" s="86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</row>
    <row r="16" spans="1:17" ht="15" customHeight="1">
      <c r="A16" s="99" t="s">
        <v>55</v>
      </c>
      <c r="B16" s="9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</row>
    <row r="17" spans="1:17" ht="13.5">
      <c r="A17" s="77">
        <v>1</v>
      </c>
      <c r="B17" s="78" t="s">
        <v>1</v>
      </c>
      <c r="C17" s="79">
        <f>+'ENERO-15'!E2+'FEBRERO-15'!E2+'MARZO-15'!E2+'ABRIL-15'!E2+'MAYO-15'!E2+'JUNIO-15'!E2+'JULIO-15'!E2+'AGOSTO-15'!E2+'SETIEMBRE-15'!E2+'OCTUBRE-15'!E2+'NOVIEMBRE-15'!E2+'DICIEMBRE 2015'!E2</f>
        <v>21468</v>
      </c>
      <c r="D17" s="79">
        <f>+'ENERO-15'!F2+'FEBRERO-15'!F2+'MARZO-15'!F2+'ABRIL-15'!F2+'MAYO-15'!F2+'JUNIO-15'!F2+'JULIO-15'!F2+'AGOSTO-15'!F2+'SETIEMBRE-15'!F2+'OCTUBRE-15'!F2+'NOVIEMBRE-15'!F2+'DICIEMBRE 2015'!F2</f>
        <v>4246.49</v>
      </c>
      <c r="E17" s="79">
        <f>+'ENERO-15'!G2+'FEBRERO-15'!G2+'MARZO-15'!G2+'ABRIL-15'!G2+'MAYO-15'!G2+'JUNIO-15'!G2+'JULIO-15'!G2+'AGOSTO-15'!G2+'SETIEMBRE-15'!G2+'OCTUBRE-15'!G2+'NOVIEMBRE-15'!G2+'DICIEMBRE 2015'!G2</f>
        <v>3000</v>
      </c>
      <c r="F17" s="79">
        <f>+'ENERO-15'!H2+'FEBRERO-15'!H2+'MARZO-15'!H2+'ABRIL-15'!H2+'MAYO-15'!H2+'JUNIO-15'!H2+'JULIO-15'!H2+'AGOSTO-15'!H2+'SETIEMBRE-15'!H2+'OCTUBRE-15'!H2+'NOVIEMBRE-15'!H2+'DICIEMBRE 2015'!H2</f>
        <v>0</v>
      </c>
      <c r="G17" s="79">
        <f>+'ENERO-15'!I2+'FEBRERO-15'!I2+'MARZO-15'!I2+'ABRIL-15'!I2+'MAYO-15'!I2+'JUNIO-15'!I2+'JULIO-15'!I2+'AGOSTO-15'!I2+'SETIEMBRE-15'!I2+'OCTUBRE-15'!I2+'NOVIEMBRE-15'!I2+'DICIEMBRE 2015'!I2</f>
        <v>201.11999999999998</v>
      </c>
      <c r="H17" s="79">
        <f>+'ENERO-15'!J2+'FEBRERO-15'!J2+'MARZO-15'!J2+'ABRIL-15'!J2+'MAYO-15'!J2+'JUNIO-15'!J2+'JULIO-15'!J2+'AGOSTO-15'!J2+'SETIEMBRE-15'!J2+'OCTUBRE-15'!J2+'NOVIEMBRE-15'!J2+'DICIEMBRE 2015'!J2</f>
        <v>4100.06</v>
      </c>
      <c r="I17" s="79">
        <f>+'ENERO-15'!K2+'FEBRERO-15'!K2+'MARZO-15'!K2+'ABRIL-15'!K2+'MAYO-15'!K2+'JUNIO-15'!K2+'JULIO-15'!K2+'AGOSTO-15'!K2+'SETIEMBRE-15'!K2+'OCTUBRE-15'!K2+'NOVIEMBRE-15'!K2+'DICIEMBRE 2015'!K2</f>
        <v>1880.76</v>
      </c>
      <c r="J17" s="79">
        <f>+'ENERO-15'!L2+'FEBRERO-15'!L2+'MARZO-15'!L2+'ABRIL-15'!L2+'MAYO-15'!L2+'JUNIO-15'!L2+'JULIO-15'!L2+'AGOSTO-15'!L2+'SETIEMBRE-15'!L2+'OCTUBRE-15'!L2+'NOVIEMBRE-15'!L2+'DICIEMBRE 2015'!L2</f>
        <v>0</v>
      </c>
      <c r="K17" s="79">
        <f>+'ENERO-15'!M2+'FEBRERO-15'!M2+'MARZO-15'!M2+'ABRIL-15'!M2+'MAYO-15'!M2+'JUNIO-15'!M2+'JULIO-15'!M2+'AGOSTO-15'!M2+'SETIEMBRE-15'!M2+'OCTUBRE-15'!M2+'NOVIEMBRE-15'!M2+'DICIEMBRE 2015'!M2</f>
        <v>333.5</v>
      </c>
      <c r="L17" s="79">
        <f>+'ENERO-15'!N2+'FEBRERO-15'!N2+'MARZO-15'!N2+'ABRIL-15'!N2+'MAYO-15'!N2+'JUNIO-15'!N2+'JULIO-15'!N2+'AGOSTO-15'!N2+'SETIEMBRE-15'!N2+'OCTUBRE-15'!N2+'NOVIEMBRE-15'!N2+'DICIEMBRE 2015'!N2</f>
        <v>0</v>
      </c>
      <c r="M17" s="79">
        <f>+'ENERO-15'!O2+'FEBRERO-15'!O2+'MARZO-15'!O2+'ABRIL-15'!O2+'MAYO-15'!O2+'JUNIO-15'!O2+'JULIO-15'!O2+'AGOSTO-15'!O2+'SETIEMBRE-15'!O2+'OCTUBRE-15'!O2+'NOVIEMBRE-15'!O2+'DICIEMBRE 2015'!O2</f>
        <v>35229.93000000001</v>
      </c>
      <c r="N17" s="79">
        <f>+'ENERO-15'!P2+'FEBRERO-15'!P2+'MARZO-15'!P2+'ABRIL-15'!P2+'MAYO-15'!P2+'JUNIO-15'!P2+'JULIO-15'!P2+'AGOSTO-15'!P2+'SETIEMBRE-15'!P2+'OCTUBRE-15'!P2+'NOVIEMBRE-15'!P2+'DICIEMBRE 2015'!P2</f>
        <v>30796.370000000006</v>
      </c>
      <c r="O17" s="79">
        <f>+'ENERO-15'!Q2+'FEBRERO-15'!Q2+'MARZO-15'!Q2+'ABRIL-15'!Q2+'MAYO-15'!Q2+'JUNIO-15'!Q2+'JULIO-15'!Q2+'AGOSTO-15'!Q2+'SETIEMBRE-15'!Q2+'OCTUBRE-15'!Q2+'NOVIEMBRE-15'!Q2+'DICIEMBRE 2015'!Q2</f>
        <v>2771.673300000001</v>
      </c>
      <c r="P17" s="79">
        <f>+'ENERO-15'!R2+'FEBRERO-15'!R2+'MARZO-15'!R2+'ABRIL-15'!R2+'MAYO-15'!R2+'JUNIO-15'!R2+'JULIO-15'!R2+'AGOSTO-15'!R2+'SETIEMBRE-15'!R2+'OCTUBRE-15'!R2+'NOVIEMBRE-15'!R2+'DICIEMBRE 2015'!R2</f>
        <v>0</v>
      </c>
      <c r="Q17" s="79">
        <f>+'ENERO-15'!S2+'FEBRERO-15'!S2+'MARZO-15'!S2+'ABRIL-15'!S2+'MAYO-15'!S2+'JUNIO-15'!S2+'JULIO-15'!S2+'AGOSTO-15'!S2+'SETIEMBRE-15'!S2+'OCTUBRE-15'!S2+'NOVIEMBRE-15'!S2+'DICIEMBRE 2015'!S2</f>
        <v>2771.673300000001</v>
      </c>
    </row>
    <row r="18" spans="1:17" s="95" customFormat="1" ht="15" customHeight="1" thickBot="1">
      <c r="A18" s="102" t="s">
        <v>63</v>
      </c>
      <c r="B18" s="103"/>
      <c r="C18" s="94">
        <f aca="true" t="shared" si="1" ref="C18:Q18">SUM(C17)</f>
        <v>21468</v>
      </c>
      <c r="D18" s="94">
        <f t="shared" si="1"/>
        <v>4246.49</v>
      </c>
      <c r="E18" s="94">
        <f t="shared" si="1"/>
        <v>3000</v>
      </c>
      <c r="F18" s="94">
        <f t="shared" si="1"/>
        <v>0</v>
      </c>
      <c r="G18" s="94">
        <f t="shared" si="1"/>
        <v>201.11999999999998</v>
      </c>
      <c r="H18" s="94">
        <f t="shared" si="1"/>
        <v>4100.06</v>
      </c>
      <c r="I18" s="94">
        <f t="shared" si="1"/>
        <v>1880.76</v>
      </c>
      <c r="J18" s="94">
        <f t="shared" si="1"/>
        <v>0</v>
      </c>
      <c r="K18" s="94">
        <f t="shared" si="1"/>
        <v>333.5</v>
      </c>
      <c r="L18" s="94">
        <f t="shared" si="1"/>
        <v>0</v>
      </c>
      <c r="M18" s="94">
        <f t="shared" si="1"/>
        <v>35229.93000000001</v>
      </c>
      <c r="N18" s="94">
        <f t="shared" si="1"/>
        <v>30796.370000000006</v>
      </c>
      <c r="O18" s="94">
        <f t="shared" si="1"/>
        <v>2771.673300000001</v>
      </c>
      <c r="P18" s="94">
        <f t="shared" si="1"/>
        <v>0</v>
      </c>
      <c r="Q18" s="94">
        <f t="shared" si="1"/>
        <v>2771.673300000001</v>
      </c>
    </row>
    <row r="19" spans="1:17" ht="14.25" thickTop="1">
      <c r="A19" s="87"/>
      <c r="B19" s="88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</row>
    <row r="20" spans="1:17" ht="13.5">
      <c r="A20" s="100" t="s">
        <v>56</v>
      </c>
      <c r="B20" s="100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</row>
    <row r="21" spans="1:17" ht="13.5">
      <c r="A21" s="101" t="s">
        <v>57</v>
      </c>
      <c r="B21" s="101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</row>
    <row r="22" spans="1:17" ht="13.5">
      <c r="A22" s="77">
        <v>1</v>
      </c>
      <c r="B22" s="78" t="s">
        <v>4</v>
      </c>
      <c r="C22" s="79">
        <f>+'ENERO-15'!E3+'FEBRERO-15'!E3+'MARZO-15'!E3+'ABRIL-15'!E3+'MAYO-15'!E3+'JUNIO-15'!E3+'JULIO-15'!E3+'AGOSTO-15'!E3+'SETIEMBRE-15'!E3+'OCTUBRE-15'!E3+'NOVIEMBRE-15'!E3+'DICIEMBRE 2015'!E3</f>
        <v>19992</v>
      </c>
      <c r="D22" s="79">
        <f>+'ENERO-15'!F3+'FEBRERO-15'!F3+'MARZO-15'!F3+'ABRIL-15'!F3+'MAYO-15'!F3+'JUNIO-15'!F3+'JULIO-15'!F3+'AGOSTO-15'!F3+'SETIEMBRE-15'!F3+'OCTUBRE-15'!F3+'NOVIEMBRE-15'!F3+'DICIEMBRE 2015'!F3</f>
        <v>1884</v>
      </c>
      <c r="E22" s="79">
        <f>+'ENERO-15'!G3+'FEBRERO-15'!G3+'MARZO-15'!G3+'ABRIL-15'!G3+'MAYO-15'!G3+'JUNIO-15'!G3+'JULIO-15'!G3+'AGOSTO-15'!G3+'SETIEMBRE-15'!G3+'OCTUBRE-15'!G3+'NOVIEMBRE-15'!G3+'DICIEMBRE 2015'!G3</f>
        <v>2580.85</v>
      </c>
      <c r="F22" s="79">
        <f>+'ENERO-15'!H3+'FEBRERO-15'!H3+'MARZO-15'!H3+'ABRIL-15'!H3+'MAYO-15'!H3+'JUNIO-15'!H3+'JULIO-15'!H3+'AGOSTO-15'!H3+'SETIEMBRE-15'!H3+'OCTUBRE-15'!H3+'NOVIEMBRE-15'!H3+'DICIEMBRE 2015'!H3</f>
        <v>0</v>
      </c>
      <c r="G22" s="79">
        <f>+'ENERO-15'!I3+'FEBRERO-15'!I3+'MARZO-15'!I3+'ABRIL-15'!I3+'MAYO-15'!I3+'JUNIO-15'!I3+'JULIO-15'!I3+'AGOSTO-15'!I3+'SETIEMBRE-15'!I3+'OCTUBRE-15'!I3+'NOVIEMBRE-15'!I3+'DICIEMBRE 2015'!I3</f>
        <v>0</v>
      </c>
      <c r="H22" s="79">
        <f>+'ENERO-15'!J3+'FEBRERO-15'!J3+'MARZO-15'!J3+'ABRIL-15'!J3+'MAYO-15'!J3+'JUNIO-15'!J3+'JULIO-15'!J3+'AGOSTO-15'!J3+'SETIEMBRE-15'!J3+'OCTUBRE-15'!J3+'NOVIEMBRE-15'!J3+'DICIEMBRE 2015'!J3</f>
        <v>3631.88</v>
      </c>
      <c r="I22" s="79">
        <f>+'ENERO-15'!K3+'FEBRERO-15'!K3+'MARZO-15'!K3+'ABRIL-15'!K3+'MAYO-15'!K3+'JUNIO-15'!K3+'JULIO-15'!K3+'AGOSTO-15'!K3+'SETIEMBRE-15'!K3+'OCTUBRE-15'!K3+'NOVIEMBRE-15'!K3+'DICIEMBRE 2015'!K3</f>
        <v>1666</v>
      </c>
      <c r="J22" s="79">
        <f>+'ENERO-15'!L3+'FEBRERO-15'!L3+'MARZO-15'!L3+'ABRIL-15'!L3+'MAYO-15'!L3+'JUNIO-15'!L3+'JULIO-15'!L3+'AGOSTO-15'!L3+'SETIEMBRE-15'!L3+'OCTUBRE-15'!L3+'NOVIEMBRE-15'!L3+'DICIEMBRE 2015'!L3</f>
        <v>0</v>
      </c>
      <c r="K22" s="79">
        <f>+'ENERO-15'!M3+'FEBRERO-15'!M3+'MARZO-15'!M3+'ABRIL-15'!M3+'MAYO-15'!M3+'JUNIO-15'!M3+'JULIO-15'!M3+'AGOSTO-15'!M3+'SETIEMBRE-15'!M3+'OCTUBRE-15'!M3+'NOVIEMBRE-15'!M3+'DICIEMBRE 2015'!M3</f>
        <v>1053.3999999999999</v>
      </c>
      <c r="L22" s="79">
        <f>+'ENERO-15'!N3+'FEBRERO-15'!N3+'MARZO-15'!N3+'ABRIL-15'!N3+'MAYO-15'!N3+'JUNIO-15'!N3+'JULIO-15'!N3+'AGOSTO-15'!N3+'SETIEMBRE-15'!N3+'OCTUBRE-15'!N3+'NOVIEMBRE-15'!N3+'DICIEMBRE 2015'!N3</f>
        <v>0</v>
      </c>
      <c r="M22" s="79">
        <f>+'ENERO-15'!O3+'FEBRERO-15'!O3+'MARZO-15'!O3+'ABRIL-15'!O3+'MAYO-15'!O3+'JUNIO-15'!O3+'JULIO-15'!O3+'AGOSTO-15'!O3+'SETIEMBRE-15'!O3+'OCTUBRE-15'!O3+'NOVIEMBRE-15'!O3+'DICIEMBRE 2015'!O3</f>
        <v>30808.13</v>
      </c>
      <c r="N22" s="79">
        <f>+'ENERO-15'!P3+'FEBRERO-15'!P3+'MARZO-15'!P3+'ABRIL-15'!P3+'MAYO-15'!P3+'JUNIO-15'!P3+'JULIO-15'!P3+'AGOSTO-15'!P3+'SETIEMBRE-15'!P3+'OCTUBRE-15'!P3+'NOVIEMBRE-15'!P3+'DICIEMBRE 2015'!P3</f>
        <v>26122.85</v>
      </c>
      <c r="O22" s="79">
        <f>+'ENERO-15'!Q3+'FEBRERO-15'!Q3+'MARZO-15'!Q3+'ABRIL-15'!Q3+'MAYO-15'!Q3+'JUNIO-15'!Q3+'JULIO-15'!Q3+'AGOSTO-15'!Q3+'SETIEMBRE-15'!Q3+'OCTUBRE-15'!Q3+'NOVIEMBRE-15'!Q3+'DICIEMBRE 2015'!Q3</f>
        <v>2351.0564999999997</v>
      </c>
      <c r="P22" s="79">
        <f>+'ENERO-15'!R3+'FEBRERO-15'!R3+'MARZO-15'!R3+'ABRIL-15'!R3+'MAYO-15'!R3+'JUNIO-15'!R3+'JULIO-15'!R3+'AGOSTO-15'!R3+'SETIEMBRE-15'!R3+'OCTUBRE-15'!R3+'NOVIEMBRE-15'!R3+'DICIEMBRE 2015'!R3</f>
        <v>0</v>
      </c>
      <c r="Q22" s="79">
        <f>+'ENERO-15'!S3+'FEBRERO-15'!S3+'MARZO-15'!S3+'ABRIL-15'!S3+'MAYO-15'!S3+'JUNIO-15'!S3+'JULIO-15'!S3+'AGOSTO-15'!S3+'SETIEMBRE-15'!S3+'OCTUBRE-15'!S3+'NOVIEMBRE-15'!S3+'DICIEMBRE 2015'!S3</f>
        <v>2351.0564999999997</v>
      </c>
    </row>
    <row r="23" spans="1:17" ht="13.5">
      <c r="A23" s="77">
        <v>1</v>
      </c>
      <c r="B23" s="78" t="s">
        <v>18</v>
      </c>
      <c r="C23" s="79">
        <f>+'ENERO-15'!E4+'FEBRERO-15'!E4+'MARZO-15'!E4+'ABRIL-15'!E4+'MAYO-15'!E4+'JUNIO-15'!E4+'JULIO-15'!E4+'AGOSTO-15'!E4+'SETIEMBRE-15'!E4+'OCTUBRE-15'!E4+'NOVIEMBRE-15'!E4+'DICIEMBRE 2015'!E4</f>
        <v>21384</v>
      </c>
      <c r="D23" s="79">
        <f>+'ENERO-15'!F4+'FEBRERO-15'!F4+'MARZO-15'!F4+'ABRIL-15'!F4+'MAYO-15'!F4+'JUNIO-15'!F4+'JULIO-15'!F4+'AGOSTO-15'!F4+'SETIEMBRE-15'!F4+'OCTUBRE-15'!F4+'NOVIEMBRE-15'!F4+'DICIEMBRE 2015'!F4</f>
        <v>1899</v>
      </c>
      <c r="E23" s="79">
        <f>+'ENERO-15'!G4+'FEBRERO-15'!G4+'MARZO-15'!G4+'ABRIL-15'!G4+'MAYO-15'!G4+'JUNIO-15'!G4+'JULIO-15'!G4+'AGOSTO-15'!G4+'SETIEMBRE-15'!G4+'OCTUBRE-15'!G4+'NOVIEMBRE-15'!G4+'DICIEMBRE 2015'!G4</f>
        <v>3000</v>
      </c>
      <c r="F23" s="79">
        <f>+'ENERO-15'!H4+'FEBRERO-15'!H4+'MARZO-15'!H4+'ABRIL-15'!H4+'MAYO-15'!H4+'JUNIO-15'!H4+'JULIO-15'!H4+'AGOSTO-15'!H4+'SETIEMBRE-15'!H4+'OCTUBRE-15'!H4+'NOVIEMBRE-15'!H4+'DICIEMBRE 2015'!H4</f>
        <v>0</v>
      </c>
      <c r="G23" s="79">
        <f>+'ENERO-15'!I4+'FEBRERO-15'!I4+'MARZO-15'!I4+'ABRIL-15'!I4+'MAYO-15'!I4+'JUNIO-15'!I4+'JULIO-15'!I4+'AGOSTO-15'!I4+'SETIEMBRE-15'!I4+'OCTUBRE-15'!I4+'NOVIEMBRE-15'!I4+'DICIEMBRE 2015'!I4</f>
        <v>274.08</v>
      </c>
      <c r="H23" s="79">
        <f>+'ENERO-15'!J4+'FEBRERO-15'!J4+'MARZO-15'!J4+'ABRIL-15'!J4+'MAYO-15'!J4+'JUNIO-15'!J4+'JULIO-15'!J4+'AGOSTO-15'!J4+'SETIEMBRE-15'!J4+'OCTUBRE-15'!J4+'NOVIEMBRE-15'!J4+'DICIEMBRE 2015'!J4</f>
        <v>3934.56</v>
      </c>
      <c r="I23" s="79">
        <f>+'ENERO-15'!K4+'FEBRERO-15'!K4+'MARZO-15'!K4+'ABRIL-15'!K4+'MAYO-15'!K4+'JUNIO-15'!K4+'JULIO-15'!K4+'AGOSTO-15'!K4+'SETIEMBRE-15'!K4+'OCTUBRE-15'!K4+'NOVIEMBRE-15'!K4+'DICIEMBRE 2015'!K4</f>
        <v>1804.84</v>
      </c>
      <c r="J23" s="79">
        <f>+'ENERO-15'!L4+'FEBRERO-15'!L4+'MARZO-15'!L4+'ABRIL-15'!L4+'MAYO-15'!L4+'JUNIO-15'!L4+'JULIO-15'!L4+'AGOSTO-15'!L4+'SETIEMBRE-15'!L4+'OCTUBRE-15'!L4+'NOVIEMBRE-15'!L4+'DICIEMBRE 2015'!L4</f>
        <v>0</v>
      </c>
      <c r="K23" s="79">
        <f>+'ENERO-15'!M4+'FEBRERO-15'!M4+'MARZO-15'!M4+'ABRIL-15'!M4+'MAYO-15'!M4+'JUNIO-15'!M4+'JULIO-15'!M4+'AGOSTO-15'!M4+'SETIEMBRE-15'!M4+'OCTUBRE-15'!M4+'NOVIEMBRE-15'!M4+'DICIEMBRE 2015'!M4</f>
        <v>99.2</v>
      </c>
      <c r="L23" s="79">
        <f>+'ENERO-15'!N4+'FEBRERO-15'!N4+'MARZO-15'!N4+'ABRIL-15'!N4+'MAYO-15'!N4+'JUNIO-15'!N4+'JULIO-15'!N4+'AGOSTO-15'!N4+'SETIEMBRE-15'!N4+'OCTUBRE-15'!N4+'NOVIEMBRE-15'!N4+'DICIEMBRE 2015'!N4</f>
        <v>0</v>
      </c>
      <c r="M23" s="79">
        <f>+'ENERO-15'!O4+'FEBRERO-15'!O4+'MARZO-15'!O4+'ABRIL-15'!O4+'MAYO-15'!O4+'JUNIO-15'!O4+'JULIO-15'!O4+'AGOSTO-15'!O4+'SETIEMBRE-15'!O4+'OCTUBRE-15'!O4+'NOVIEMBRE-15'!O4+'DICIEMBRE 2015'!O4</f>
        <v>32395.68</v>
      </c>
      <c r="N23" s="79">
        <f>+'ENERO-15'!P4+'FEBRERO-15'!P4+'MARZO-15'!P4+'ABRIL-15'!P4+'MAYO-15'!P4+'JUNIO-15'!P4+'JULIO-15'!P4+'AGOSTO-15'!P4+'SETIEMBRE-15'!P4+'OCTUBRE-15'!P4+'NOVIEMBRE-15'!P4+'DICIEMBRE 2015'!P4</f>
        <v>28361.920000000002</v>
      </c>
      <c r="O23" s="79">
        <f>+'ENERO-15'!Q4+'FEBRERO-15'!Q4+'MARZO-15'!Q4+'ABRIL-15'!Q4+'MAYO-15'!Q4+'JUNIO-15'!Q4+'JULIO-15'!Q4+'AGOSTO-15'!Q4+'SETIEMBRE-15'!Q4+'OCTUBRE-15'!Q4+'NOVIEMBRE-15'!Q4+'DICIEMBRE 2015'!Q4</f>
        <v>2552.5728</v>
      </c>
      <c r="P23" s="79">
        <f>+'ENERO-15'!R4+'FEBRERO-15'!R4+'MARZO-15'!R4+'ABRIL-15'!R4+'MAYO-15'!R4+'JUNIO-15'!R4+'JULIO-15'!R4+'AGOSTO-15'!R4+'SETIEMBRE-15'!R4+'OCTUBRE-15'!R4+'NOVIEMBRE-15'!R4+'DICIEMBRE 2015'!R4</f>
        <v>0</v>
      </c>
      <c r="Q23" s="79">
        <f>+'ENERO-15'!S4+'FEBRERO-15'!S4+'MARZO-15'!S4+'ABRIL-15'!S4+'MAYO-15'!S4+'JUNIO-15'!S4+'JULIO-15'!S4+'AGOSTO-15'!S4+'SETIEMBRE-15'!S4+'OCTUBRE-15'!S4+'NOVIEMBRE-15'!S4+'DICIEMBRE 2015'!S4</f>
        <v>2552.5728</v>
      </c>
    </row>
    <row r="24" spans="1:17" ht="13.5">
      <c r="A24" s="77">
        <v>2</v>
      </c>
      <c r="B24" s="78" t="s">
        <v>5</v>
      </c>
      <c r="C24" s="79">
        <f>+'ENERO-15'!E5+'FEBRERO-15'!E5+'MARZO-15'!E5+'ABRIL-15'!E5+'MAYO-15'!E5+'JUNIO-15'!E5+'JULIO-15'!E5+'AGOSTO-15'!E5+'SETIEMBRE-15'!E5+'OCTUBRE-15'!E5+'NOVIEMBRE-15'!E5+'DICIEMBRE 2015'!E5</f>
        <v>19992</v>
      </c>
      <c r="D24" s="79">
        <f>+'ENERO-15'!F5+'FEBRERO-15'!F5+'MARZO-15'!F5+'ABRIL-15'!F5+'MAYO-15'!F5+'JUNIO-15'!F5+'JULIO-15'!F5+'AGOSTO-15'!F5+'SETIEMBRE-15'!F5+'OCTUBRE-15'!F5+'NOVIEMBRE-15'!F5+'DICIEMBRE 2015'!F5</f>
        <v>3173.2000000000003</v>
      </c>
      <c r="E24" s="79">
        <f>+'ENERO-15'!G5+'FEBRERO-15'!G5+'MARZO-15'!G5+'ABRIL-15'!G5+'MAYO-15'!G5+'JUNIO-15'!G5+'JULIO-15'!G5+'AGOSTO-15'!G5+'SETIEMBRE-15'!G5+'OCTUBRE-15'!G5+'NOVIEMBRE-15'!G5+'DICIEMBRE 2015'!G5</f>
        <v>1640.25</v>
      </c>
      <c r="F24" s="79">
        <f>+'ENERO-15'!H5+'FEBRERO-15'!H5+'MARZO-15'!H5+'ABRIL-15'!H5+'MAYO-15'!H5+'JUNIO-15'!H5+'JULIO-15'!H5+'AGOSTO-15'!H5+'SETIEMBRE-15'!H5+'OCTUBRE-15'!H5+'NOVIEMBRE-15'!H5+'DICIEMBRE 2015'!H5</f>
        <v>0</v>
      </c>
      <c r="G24" s="79">
        <f>+'ENERO-15'!I5+'FEBRERO-15'!I5+'MARZO-15'!I5+'ABRIL-15'!I5+'MAYO-15'!I5+'JUNIO-15'!I5+'JULIO-15'!I5+'AGOSTO-15'!I5+'SETIEMBRE-15'!I5+'OCTUBRE-15'!I5+'NOVIEMBRE-15'!I5+'DICIEMBRE 2015'!I5</f>
        <v>0</v>
      </c>
      <c r="H24" s="79">
        <f>+'ENERO-15'!J5+'FEBRERO-15'!J5+'MARZO-15'!J5+'ABRIL-15'!J5+'MAYO-15'!J5+'JUNIO-15'!J5+'JULIO-15'!J5+'AGOSTO-15'!J5+'SETIEMBRE-15'!J5+'OCTUBRE-15'!J5+'NOVIEMBRE-15'!J5+'DICIEMBRE 2015'!J5</f>
        <v>3795.38</v>
      </c>
      <c r="I24" s="79">
        <f>+'ENERO-15'!K5+'FEBRERO-15'!K5+'MARZO-15'!K5+'ABRIL-15'!K5+'MAYO-15'!K5+'JUNIO-15'!K5+'JULIO-15'!K5+'AGOSTO-15'!K5+'SETIEMBRE-15'!K5+'OCTUBRE-15'!K5+'NOVIEMBRE-15'!K5+'DICIEMBRE 2015'!K5</f>
        <v>1666</v>
      </c>
      <c r="J24" s="79">
        <f>+'ENERO-15'!L5+'FEBRERO-15'!L5+'MARZO-15'!L5+'ABRIL-15'!L5+'MAYO-15'!L5+'JUNIO-15'!L5+'JULIO-15'!L5+'AGOSTO-15'!L5+'SETIEMBRE-15'!L5+'OCTUBRE-15'!L5+'NOVIEMBRE-15'!L5+'DICIEMBRE 2015'!L5</f>
        <v>0</v>
      </c>
      <c r="K24" s="79">
        <f>+'ENERO-15'!M5+'FEBRERO-15'!M5+'MARZO-15'!M5+'ABRIL-15'!M5+'MAYO-15'!M5+'JUNIO-15'!M5+'JULIO-15'!M5+'AGOSTO-15'!M5+'SETIEMBRE-15'!M5+'OCTUBRE-15'!M5+'NOVIEMBRE-15'!M5+'DICIEMBRE 2015'!M5</f>
        <v>80.5</v>
      </c>
      <c r="L24" s="79">
        <f>+'ENERO-15'!N5+'FEBRERO-15'!N5+'MARZO-15'!N5+'ABRIL-15'!N5+'MAYO-15'!N5+'JUNIO-15'!N5+'JULIO-15'!N5+'AGOSTO-15'!N5+'SETIEMBRE-15'!N5+'OCTUBRE-15'!N5+'NOVIEMBRE-15'!N5+'DICIEMBRE 2015'!N5</f>
        <v>0</v>
      </c>
      <c r="M24" s="79">
        <f>+'ENERO-15'!O5+'FEBRERO-15'!O5+'MARZO-15'!O5+'ABRIL-15'!O5+'MAYO-15'!O5+'JUNIO-15'!O5+'JULIO-15'!O5+'AGOSTO-15'!O5+'SETIEMBRE-15'!O5+'OCTUBRE-15'!O5+'NOVIEMBRE-15'!O5+'DICIEMBRE 2015'!O5</f>
        <v>30347.329999999998</v>
      </c>
      <c r="N24" s="79">
        <f>+'ENERO-15'!P5+'FEBRERO-15'!P5+'MARZO-15'!P5+'ABRIL-15'!P5+'MAYO-15'!P5+'JUNIO-15'!P5+'JULIO-15'!P5+'AGOSTO-15'!P5+'SETIEMBRE-15'!P5+'OCTUBRE-15'!P5+'NOVIEMBRE-15'!P5+'DICIEMBRE 2015'!P5</f>
        <v>26471.45</v>
      </c>
      <c r="O24" s="79">
        <f>+'ENERO-15'!Q5+'FEBRERO-15'!Q5+'MARZO-15'!Q5+'ABRIL-15'!Q5+'MAYO-15'!Q5+'JUNIO-15'!Q5+'JULIO-15'!Q5+'AGOSTO-15'!Q5+'SETIEMBRE-15'!Q5+'OCTUBRE-15'!Q5+'NOVIEMBRE-15'!Q5+'DICIEMBRE 2015'!Q5</f>
        <v>2382.4305</v>
      </c>
      <c r="P24" s="79">
        <f>+'ENERO-15'!R5+'FEBRERO-15'!R5+'MARZO-15'!R5+'ABRIL-15'!R5+'MAYO-15'!R5+'JUNIO-15'!R5+'JULIO-15'!R5+'AGOSTO-15'!R5+'SETIEMBRE-15'!R5+'OCTUBRE-15'!R5+'NOVIEMBRE-15'!R5+'DICIEMBRE 2015'!R5</f>
        <v>0</v>
      </c>
      <c r="Q24" s="79">
        <f>+'ENERO-15'!S5+'FEBRERO-15'!S5+'MARZO-15'!S5+'ABRIL-15'!S5+'MAYO-15'!S5+'JUNIO-15'!S5+'JULIO-15'!S5+'AGOSTO-15'!S5+'SETIEMBRE-15'!S5+'OCTUBRE-15'!S5+'NOVIEMBRE-15'!S5+'DICIEMBRE 2015'!S5</f>
        <v>2382.4305</v>
      </c>
    </row>
    <row r="25" spans="1:17" ht="13.5">
      <c r="A25" s="77">
        <v>2</v>
      </c>
      <c r="B25" s="78" t="s">
        <v>0</v>
      </c>
      <c r="C25" s="79">
        <f>+'ENERO-15'!E6+'FEBRERO-15'!E6+'MARZO-15'!E6+'ABRIL-15'!E6+'MAYO-15'!E6+'JUNIO-15'!E6+'JULIO-15'!E6+'AGOSTO-15'!E6+'SETIEMBRE-15'!E6+'OCTUBRE-15'!E6+'NOVIEMBRE-15'!E6+'DICIEMBRE 2015'!E6</f>
        <v>20976</v>
      </c>
      <c r="D25" s="79">
        <f>+'ENERO-15'!F6+'FEBRERO-15'!F6+'MARZO-15'!F6+'ABRIL-15'!F6+'MAYO-15'!F6+'JUNIO-15'!F6+'JULIO-15'!F6+'AGOSTO-15'!F6+'SETIEMBRE-15'!F6+'OCTUBRE-15'!F6+'NOVIEMBRE-15'!F6+'DICIEMBRE 2015'!F6</f>
        <v>6707.170000000001</v>
      </c>
      <c r="E25" s="79">
        <f>+'ENERO-15'!G6+'FEBRERO-15'!G6+'MARZO-15'!G6+'ABRIL-15'!G6+'MAYO-15'!G6+'JUNIO-15'!G6+'JULIO-15'!G6+'AGOSTO-15'!G6+'SETIEMBRE-15'!G6+'OCTUBRE-15'!G6+'NOVIEMBRE-15'!G6+'DICIEMBRE 2015'!G6</f>
        <v>3000</v>
      </c>
      <c r="F25" s="79">
        <f>+'ENERO-15'!H6+'FEBRERO-15'!H6+'MARZO-15'!H6+'ABRIL-15'!H6+'MAYO-15'!H6+'JUNIO-15'!H6+'JULIO-15'!H6+'AGOSTO-15'!H6+'SETIEMBRE-15'!H6+'OCTUBRE-15'!H6+'NOVIEMBRE-15'!H6+'DICIEMBRE 2015'!H6</f>
        <v>567.12</v>
      </c>
      <c r="G25" s="79">
        <f>+'ENERO-15'!I6+'FEBRERO-15'!I6+'MARZO-15'!I6+'ABRIL-15'!I6+'MAYO-15'!I6+'JUNIO-15'!I6+'JULIO-15'!I6+'AGOSTO-15'!I6+'SETIEMBRE-15'!I6+'OCTUBRE-15'!I6+'NOVIEMBRE-15'!I6+'DICIEMBRE 2015'!I6</f>
        <v>183.35999999999999</v>
      </c>
      <c r="H25" s="79">
        <f>+'ENERO-15'!J6+'FEBRERO-15'!J6+'MARZO-15'!J6+'ABRIL-15'!J6+'MAYO-15'!J6+'JUNIO-15'!J6+'JULIO-15'!J6+'AGOSTO-15'!J6+'SETIEMBRE-15'!J6+'OCTUBRE-15'!J6+'NOVIEMBRE-15'!J6+'DICIEMBRE 2015'!J6</f>
        <v>4270.33</v>
      </c>
      <c r="I25" s="79">
        <f>+'ENERO-15'!K6+'FEBRERO-15'!K6+'MARZO-15'!K6+'ABRIL-15'!K6+'MAYO-15'!K6+'JUNIO-15'!K6+'JULIO-15'!K6+'AGOSTO-15'!K6+'SETIEMBRE-15'!K6+'OCTUBRE-15'!K6+'NOVIEMBRE-15'!K6+'DICIEMBRE 2015'!K6</f>
        <v>1885.54</v>
      </c>
      <c r="J25" s="79">
        <f>+'ENERO-15'!L6+'FEBRERO-15'!L6+'MARZO-15'!L6+'ABRIL-15'!L6+'MAYO-15'!L6+'JUNIO-15'!L6+'JULIO-15'!L6+'AGOSTO-15'!L6+'SETIEMBRE-15'!L6+'OCTUBRE-15'!L6+'NOVIEMBRE-15'!L6+'DICIEMBRE 2015'!L6</f>
        <v>0</v>
      </c>
      <c r="K25" s="79">
        <f>+'ENERO-15'!M6+'FEBRERO-15'!M6+'MARZO-15'!M6+'ABRIL-15'!M6+'MAYO-15'!M6+'JUNIO-15'!M6+'JULIO-15'!M6+'AGOSTO-15'!M6+'SETIEMBRE-15'!M6+'OCTUBRE-15'!M6+'NOVIEMBRE-15'!M6+'DICIEMBRE 2015'!M6</f>
        <v>908.5</v>
      </c>
      <c r="L25" s="79">
        <f>+'ENERO-15'!N6+'FEBRERO-15'!N6+'MARZO-15'!N6+'ABRIL-15'!N6+'MAYO-15'!N6+'JUNIO-15'!N6+'JULIO-15'!N6+'AGOSTO-15'!N6+'SETIEMBRE-15'!N6+'OCTUBRE-15'!N6+'NOVIEMBRE-15'!N6+'DICIEMBRE 2015'!N6</f>
        <v>0</v>
      </c>
      <c r="M25" s="79">
        <f>+'ENERO-15'!O6+'FEBRERO-15'!O6+'MARZO-15'!O6+'ABRIL-15'!O6+'MAYO-15'!O6+'JUNIO-15'!O6+'JULIO-15'!O6+'AGOSTO-15'!O6+'SETIEMBRE-15'!O6+'OCTUBRE-15'!O6+'NOVIEMBRE-15'!O6+'DICIEMBRE 2015'!O6</f>
        <v>38498.020000000004</v>
      </c>
      <c r="N25" s="79">
        <f>+'ENERO-15'!P6+'FEBRERO-15'!P6+'MARZO-15'!P6+'ABRIL-15'!P6+'MAYO-15'!P6+'JUNIO-15'!P6+'JULIO-15'!P6+'AGOSTO-15'!P6+'SETIEMBRE-15'!P6+'OCTUBRE-15'!P6+'NOVIEMBRE-15'!P6+'DICIEMBRE 2015'!P6</f>
        <v>33319.19</v>
      </c>
      <c r="O25" s="79">
        <f>+'ENERO-15'!Q6+'FEBRERO-15'!Q6+'MARZO-15'!Q6+'ABRIL-15'!Q6+'MAYO-15'!Q6+'JUNIO-15'!Q6+'JULIO-15'!Q6+'AGOSTO-15'!Q6+'SETIEMBRE-15'!Q6+'OCTUBRE-15'!Q6+'NOVIEMBRE-15'!Q6+'DICIEMBRE 2015'!Q6</f>
        <v>2998.7271000000005</v>
      </c>
      <c r="P25" s="79">
        <f>+'ENERO-15'!R6+'FEBRERO-15'!R6+'MARZO-15'!R6+'ABRIL-15'!R6+'MAYO-15'!R6+'JUNIO-15'!R6+'JULIO-15'!R6+'AGOSTO-15'!R6+'SETIEMBRE-15'!R6+'OCTUBRE-15'!R6+'NOVIEMBRE-15'!R6+'DICIEMBRE 2015'!R6</f>
        <v>0</v>
      </c>
      <c r="Q25" s="79">
        <f>+'ENERO-15'!S6+'FEBRERO-15'!S6+'MARZO-15'!S6+'ABRIL-15'!S6+'MAYO-15'!S6+'JUNIO-15'!S6+'JULIO-15'!S6+'AGOSTO-15'!S6+'SETIEMBRE-15'!S6+'OCTUBRE-15'!S6+'NOVIEMBRE-15'!S6+'DICIEMBRE 2015'!S6</f>
        <v>2998.7271000000005</v>
      </c>
    </row>
    <row r="26" spans="1:17" ht="13.5">
      <c r="A26" s="77">
        <v>3</v>
      </c>
      <c r="B26" s="78" t="s">
        <v>19</v>
      </c>
      <c r="C26" s="79">
        <f>+'ENERO-15'!E7+'FEBRERO-15'!E7+'MARZO-15'!E7+'ABRIL-15'!E7+'MAYO-15'!E7+'JUNIO-15'!E7+'JULIO-15'!E7+'AGOSTO-15'!E7+'SETIEMBRE-15'!E7+'OCTUBRE-15'!E7+'NOVIEMBRE-15'!E7+'DICIEMBRE 2015'!E7</f>
        <v>20724</v>
      </c>
      <c r="D26" s="79">
        <f>+'ENERO-15'!F7+'FEBRERO-15'!F7+'MARZO-15'!F7+'ABRIL-15'!F7+'MAYO-15'!F7+'JUNIO-15'!F7+'JULIO-15'!F7+'AGOSTO-15'!F7+'SETIEMBRE-15'!F7+'OCTUBRE-15'!F7+'NOVIEMBRE-15'!F7+'DICIEMBRE 2015'!F7</f>
        <v>6013.03</v>
      </c>
      <c r="E26" s="79">
        <f>+'ENERO-15'!G7+'FEBRERO-15'!G7+'MARZO-15'!G7+'ABRIL-15'!G7+'MAYO-15'!G7+'JUNIO-15'!G7+'JULIO-15'!G7+'AGOSTO-15'!G7+'SETIEMBRE-15'!G7+'OCTUBRE-15'!G7+'NOVIEMBRE-15'!G7+'DICIEMBRE 2015'!G7</f>
        <v>909.25</v>
      </c>
      <c r="F26" s="79">
        <f>+'ENERO-15'!H7+'FEBRERO-15'!H7+'MARZO-15'!H7+'ABRIL-15'!H7+'MAYO-15'!H7+'JUNIO-15'!H7+'JULIO-15'!H7+'AGOSTO-15'!H7+'SETIEMBRE-15'!H7+'OCTUBRE-15'!H7+'NOVIEMBRE-15'!H7+'DICIEMBRE 2015'!H7</f>
        <v>0</v>
      </c>
      <c r="G26" s="79">
        <f>+'ENERO-15'!I7+'FEBRERO-15'!I7+'MARZO-15'!I7+'ABRIL-15'!I7+'MAYO-15'!I7+'JUNIO-15'!I7+'JULIO-15'!I7+'AGOSTO-15'!I7+'SETIEMBRE-15'!I7+'OCTUBRE-15'!I7+'NOVIEMBRE-15'!I7+'DICIEMBRE 2015'!I7</f>
        <v>0</v>
      </c>
      <c r="H26" s="79">
        <f>+'ENERO-15'!J7+'FEBRERO-15'!J7+'MARZO-15'!J7+'ABRIL-15'!J7+'MAYO-15'!J7+'JUNIO-15'!J7+'JULIO-15'!J7+'AGOSTO-15'!J7+'SETIEMBRE-15'!J7+'OCTUBRE-15'!J7+'NOVIEMBRE-15'!J7+'DICIEMBRE 2015'!J7</f>
        <v>4061.12</v>
      </c>
      <c r="I26" s="79">
        <f>+'ENERO-15'!K7+'FEBRERO-15'!K7+'MARZO-15'!K7+'ABRIL-15'!K7+'MAYO-15'!K7+'JUNIO-15'!K7+'JULIO-15'!K7+'AGOSTO-15'!K7+'SETIEMBRE-15'!K7+'OCTUBRE-15'!K7+'NOVIEMBRE-15'!K7+'DICIEMBRE 2015'!K7</f>
        <v>1802</v>
      </c>
      <c r="J26" s="79">
        <f>+'ENERO-15'!L7+'FEBRERO-15'!L7+'MARZO-15'!L7+'ABRIL-15'!L7+'MAYO-15'!L7+'JUNIO-15'!L7+'JULIO-15'!L7+'AGOSTO-15'!L7+'SETIEMBRE-15'!L7+'OCTUBRE-15'!L7+'NOVIEMBRE-15'!L7+'DICIEMBRE 2015'!L7</f>
        <v>0</v>
      </c>
      <c r="K26" s="79">
        <f>+'ENERO-15'!M7+'FEBRERO-15'!M7+'MARZO-15'!M7+'ABRIL-15'!M7+'MAYO-15'!M7+'JUNIO-15'!M7+'JULIO-15'!M7+'AGOSTO-15'!M7+'SETIEMBRE-15'!M7+'OCTUBRE-15'!M7+'NOVIEMBRE-15'!M7+'DICIEMBRE 2015'!M7</f>
        <v>851</v>
      </c>
      <c r="L26" s="79">
        <f>+'ENERO-15'!N7+'FEBRERO-15'!N7+'MARZO-15'!N7+'ABRIL-15'!N7+'MAYO-15'!N7+'JUNIO-15'!N7+'JULIO-15'!N7+'AGOSTO-15'!N7+'SETIEMBRE-15'!N7+'OCTUBRE-15'!N7+'NOVIEMBRE-15'!N7+'DICIEMBRE 2015'!N7</f>
        <v>0</v>
      </c>
      <c r="M26" s="79">
        <f>+'ENERO-15'!O7+'FEBRERO-15'!O7+'MARZO-15'!O7+'ABRIL-15'!O7+'MAYO-15'!O7+'JUNIO-15'!O7+'JULIO-15'!O7+'AGOSTO-15'!O7+'SETIEMBRE-15'!O7+'OCTUBRE-15'!O7+'NOVIEMBRE-15'!O7+'DICIEMBRE 2015'!O7</f>
        <v>34360.4</v>
      </c>
      <c r="N26" s="79">
        <f>+'ENERO-15'!P7+'FEBRERO-15'!P7+'MARZO-15'!P7+'ABRIL-15'!P7+'MAYO-15'!P7+'JUNIO-15'!P7+'JULIO-15'!P7+'AGOSTO-15'!P7+'SETIEMBRE-15'!P7+'OCTUBRE-15'!P7+'NOVIEMBRE-15'!P7+'DICIEMBRE 2015'!P7</f>
        <v>29448.280000000002</v>
      </c>
      <c r="O26" s="79">
        <f>+'ENERO-15'!Q7+'FEBRERO-15'!Q7+'MARZO-15'!Q7+'ABRIL-15'!Q7+'MAYO-15'!Q7+'JUNIO-15'!Q7+'JULIO-15'!Q7+'AGOSTO-15'!Q7+'SETIEMBRE-15'!Q7+'OCTUBRE-15'!Q7+'NOVIEMBRE-15'!Q7+'DICIEMBRE 2015'!Q7</f>
        <v>2650.3452000000007</v>
      </c>
      <c r="P26" s="79">
        <f>+'ENERO-15'!R7+'FEBRERO-15'!R7+'MARZO-15'!R7+'ABRIL-15'!R7+'MAYO-15'!R7+'JUNIO-15'!R7+'JULIO-15'!R7+'AGOSTO-15'!R7+'SETIEMBRE-15'!R7+'OCTUBRE-15'!R7+'NOVIEMBRE-15'!R7+'DICIEMBRE 2015'!R7</f>
        <v>0</v>
      </c>
      <c r="Q26" s="79">
        <f>+'ENERO-15'!S7+'FEBRERO-15'!S7+'MARZO-15'!S7+'ABRIL-15'!S7+'MAYO-15'!S7+'JUNIO-15'!S7+'JULIO-15'!S7+'AGOSTO-15'!S7+'SETIEMBRE-15'!S7+'OCTUBRE-15'!S7+'NOVIEMBRE-15'!S7+'DICIEMBRE 2015'!S7</f>
        <v>2650.3452000000007</v>
      </c>
    </row>
    <row r="27" spans="1:17" ht="13.5">
      <c r="A27" s="77">
        <v>3</v>
      </c>
      <c r="B27" s="78" t="s">
        <v>2</v>
      </c>
      <c r="C27" s="79">
        <f>+'ENERO-15'!E8+'FEBRERO-15'!E8+'MARZO-15'!E8+'ABRIL-15'!E8+'MAYO-15'!E8+'JUNIO-15'!E8+'JULIO-15'!E8+'AGOSTO-15'!E8+'SETIEMBRE-15'!E8+'OCTUBRE-15'!E8+'NOVIEMBRE-15'!E8+'DICIEMBRE 2015'!E8</f>
        <v>21384</v>
      </c>
      <c r="D27" s="79">
        <f>+'ENERO-15'!F8+'FEBRERO-15'!F8+'MARZO-15'!F8+'ABRIL-15'!F8+'MAYO-15'!F8+'JUNIO-15'!F8+'JULIO-15'!F8+'AGOSTO-15'!F8+'SETIEMBRE-15'!F8+'OCTUBRE-15'!F8+'NOVIEMBRE-15'!F8+'DICIEMBRE 2015'!F8</f>
        <v>5952.279999999999</v>
      </c>
      <c r="E27" s="79">
        <f>+'ENERO-15'!G8+'FEBRERO-15'!G8+'MARZO-15'!G8+'ABRIL-15'!G8+'MAYO-15'!G8+'JUNIO-15'!G8+'JULIO-15'!G8+'AGOSTO-15'!G8+'SETIEMBRE-15'!G8+'OCTUBRE-15'!G8+'NOVIEMBRE-15'!G8+'DICIEMBRE 2015'!G8</f>
        <v>3000</v>
      </c>
      <c r="F27" s="79">
        <f>+'ENERO-15'!H8+'FEBRERO-15'!H8+'MARZO-15'!H8+'ABRIL-15'!H8+'MAYO-15'!H8+'JUNIO-15'!H8+'JULIO-15'!H8+'AGOSTO-15'!H8+'SETIEMBRE-15'!H8+'OCTUBRE-15'!H8+'NOVIEMBRE-15'!H8+'DICIEMBRE 2015'!H8</f>
        <v>603.9599999999999</v>
      </c>
      <c r="G27" s="79">
        <f>+'ENERO-15'!I8+'FEBRERO-15'!I8+'MARZO-15'!I8+'ABRIL-15'!I8+'MAYO-15'!I8+'JUNIO-15'!I8+'JULIO-15'!I8+'AGOSTO-15'!I8+'SETIEMBRE-15'!I8+'OCTUBRE-15'!I8+'NOVIEMBRE-15'!I8+'DICIEMBRE 2015'!I8</f>
        <v>195.24000000000004</v>
      </c>
      <c r="H27" s="79">
        <f>+'ENERO-15'!J8+'FEBRERO-15'!J8+'MARZO-15'!J8+'ABRIL-15'!J8+'MAYO-15'!J8+'JUNIO-15'!J8+'JULIO-15'!J8+'AGOSTO-15'!J8+'SETIEMBRE-15'!J8+'OCTUBRE-15'!J8+'NOVIEMBRE-15'!J8+'DICIEMBRE 2015'!J8</f>
        <v>4193.44</v>
      </c>
      <c r="I27" s="79">
        <f>+'ENERO-15'!K8+'FEBRERO-15'!K8+'MARZO-15'!K8+'ABRIL-15'!K8+'MAYO-15'!K8+'JUNIO-15'!K8+'JULIO-15'!K8+'AGOSTO-15'!K8+'SETIEMBRE-15'!K8+'OCTUBRE-15'!K8+'NOVIEMBRE-15'!K8+'DICIEMBRE 2015'!K8</f>
        <v>1923.6</v>
      </c>
      <c r="J27" s="79">
        <f>+'ENERO-15'!L8+'FEBRERO-15'!L8+'MARZO-15'!L8+'ABRIL-15'!L8+'MAYO-15'!L8+'JUNIO-15'!L8+'JULIO-15'!L8+'AGOSTO-15'!L8+'SETIEMBRE-15'!L8+'OCTUBRE-15'!L8+'NOVIEMBRE-15'!L8+'DICIEMBRE 2015'!L8</f>
        <v>0</v>
      </c>
      <c r="K27" s="79">
        <f>+'ENERO-15'!M8+'FEBRERO-15'!M8+'MARZO-15'!M8+'ABRIL-15'!M8+'MAYO-15'!M8+'JUNIO-15'!M8+'JULIO-15'!M8+'AGOSTO-15'!M8+'SETIEMBRE-15'!M8+'OCTUBRE-15'!M8+'NOVIEMBRE-15'!M8+'DICIEMBRE 2015'!M8</f>
        <v>862.5</v>
      </c>
      <c r="L27" s="79">
        <f>+'ENERO-15'!N8+'FEBRERO-15'!N8+'MARZO-15'!N8+'ABRIL-15'!N8+'MAYO-15'!N8+'JUNIO-15'!N8+'JULIO-15'!N8+'AGOSTO-15'!N8+'SETIEMBRE-15'!N8+'OCTUBRE-15'!N8+'NOVIEMBRE-15'!N8+'DICIEMBRE 2015'!N8</f>
        <v>0</v>
      </c>
      <c r="M27" s="79">
        <f>+'ENERO-15'!O8+'FEBRERO-15'!O8+'MARZO-15'!O8+'ABRIL-15'!O8+'MAYO-15'!O8+'JUNIO-15'!O8+'JULIO-15'!O8+'AGOSTO-15'!O8+'SETIEMBRE-15'!O8+'OCTUBRE-15'!O8+'NOVIEMBRE-15'!O8+'DICIEMBRE 2015'!O8</f>
        <v>38115.02</v>
      </c>
      <c r="N27" s="79">
        <f>+'ENERO-15'!P8+'FEBRERO-15'!P8+'MARZO-15'!P8+'ABRIL-15'!P8+'MAYO-15'!P8+'JUNIO-15'!P8+'JULIO-15'!P8+'AGOSTO-15'!P8+'SETIEMBRE-15'!P8+'OCTUBRE-15'!P8+'NOVIEMBRE-15'!P8+'DICIEMBRE 2015'!P8</f>
        <v>33059.079999999994</v>
      </c>
      <c r="O27" s="79">
        <f>+'ENERO-15'!Q8+'FEBRERO-15'!Q8+'MARZO-15'!Q8+'ABRIL-15'!Q8+'MAYO-15'!Q8+'JUNIO-15'!Q8+'JULIO-15'!Q8+'AGOSTO-15'!Q8+'SETIEMBRE-15'!Q8+'OCTUBRE-15'!Q8+'NOVIEMBRE-15'!Q8+'DICIEMBRE 2015'!Q8</f>
        <v>2975.3172000000004</v>
      </c>
      <c r="P27" s="79">
        <f>+'ENERO-15'!R8+'FEBRERO-15'!R8+'MARZO-15'!R8+'ABRIL-15'!R8+'MAYO-15'!R8+'JUNIO-15'!R8+'JULIO-15'!R8+'AGOSTO-15'!R8+'SETIEMBRE-15'!R8+'OCTUBRE-15'!R8+'NOVIEMBRE-15'!R8+'DICIEMBRE 2015'!R8</f>
        <v>0</v>
      </c>
      <c r="Q27" s="79">
        <f>+'ENERO-15'!S8+'FEBRERO-15'!S8+'MARZO-15'!S8+'ABRIL-15'!S8+'MAYO-15'!S8+'JUNIO-15'!S8+'JULIO-15'!S8+'AGOSTO-15'!S8+'SETIEMBRE-15'!S8+'OCTUBRE-15'!S8+'NOVIEMBRE-15'!S8+'DICIEMBRE 2015'!S8</f>
        <v>2975.3172000000004</v>
      </c>
    </row>
    <row r="28" spans="1:17" s="95" customFormat="1" ht="15" customHeight="1" thickBot="1">
      <c r="A28" s="102" t="s">
        <v>63</v>
      </c>
      <c r="B28" s="103"/>
      <c r="C28" s="94">
        <f>SUM(C22:C27)</f>
        <v>124452</v>
      </c>
      <c r="D28" s="94">
        <f aca="true" t="shared" si="2" ref="D28:Q28">SUM(D22:D27)</f>
        <v>25628.68</v>
      </c>
      <c r="E28" s="94">
        <f t="shared" si="2"/>
        <v>14130.35</v>
      </c>
      <c r="F28" s="94">
        <f t="shared" si="2"/>
        <v>1171.08</v>
      </c>
      <c r="G28" s="94">
        <f t="shared" si="2"/>
        <v>652.68</v>
      </c>
      <c r="H28" s="94">
        <f t="shared" si="2"/>
        <v>23886.71</v>
      </c>
      <c r="I28" s="94">
        <f t="shared" si="2"/>
        <v>10747.980000000001</v>
      </c>
      <c r="J28" s="94">
        <f t="shared" si="2"/>
        <v>0</v>
      </c>
      <c r="K28" s="94">
        <f t="shared" si="2"/>
        <v>3855.1</v>
      </c>
      <c r="L28" s="94">
        <f t="shared" si="2"/>
        <v>0</v>
      </c>
      <c r="M28" s="94">
        <f t="shared" si="2"/>
        <v>204524.58</v>
      </c>
      <c r="N28" s="94">
        <f t="shared" si="2"/>
        <v>176782.77</v>
      </c>
      <c r="O28" s="94">
        <f t="shared" si="2"/>
        <v>15910.4493</v>
      </c>
      <c r="P28" s="94">
        <f t="shared" si="2"/>
        <v>0</v>
      </c>
      <c r="Q28" s="94">
        <f t="shared" si="2"/>
        <v>15910.4493</v>
      </c>
    </row>
    <row r="29" spans="1:17" ht="14.25" thickTop="1">
      <c r="A29" s="87"/>
      <c r="B29" s="88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</row>
    <row r="30" spans="1:17" ht="13.5">
      <c r="A30" s="100" t="s">
        <v>58</v>
      </c>
      <c r="B30" s="100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1:17" ht="13.5">
      <c r="A31" s="101" t="s">
        <v>59</v>
      </c>
      <c r="B31" s="101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</row>
    <row r="32" spans="1:17" ht="13.5">
      <c r="A32" s="77">
        <v>1</v>
      </c>
      <c r="B32" s="78" t="s">
        <v>26</v>
      </c>
      <c r="C32" s="79">
        <f>+'ENERO-15'!E9+'FEBRERO-15'!E9+'MARZO-15'!E9+'ABRIL-15'!E9+'MAYO-15'!E9+'JUNIO-15'!E9+'JULIO-15'!E9+'AGOSTO-15'!E9+'SETIEMBRE-15'!E9+'OCTUBRE-15'!E9+'NOVIEMBRE-15'!E9+'DICIEMBRE 2015'!E9</f>
        <v>3114.8</v>
      </c>
      <c r="D32" s="79">
        <f>+'ENERO-15'!F9+'FEBRERO-15'!F9+'MARZO-15'!F9+'ABRIL-15'!F9+'MAYO-15'!F9+'JUNIO-15'!F9+'JULIO-15'!F9+'AGOSTO-15'!F9+'SETIEMBRE-15'!F9+'OCTUBRE-15'!F9+'NOVIEMBRE-15'!F9+'DICIEMBRE 2015'!F9</f>
        <v>0</v>
      </c>
      <c r="E32" s="79">
        <f>+'ENERO-15'!G9+'FEBRERO-15'!G9+'MARZO-15'!G9+'ABRIL-15'!G9+'MAYO-15'!G9+'JUNIO-15'!G9+'JULIO-15'!G9+'AGOSTO-15'!G9+'SETIEMBRE-15'!G9+'OCTUBRE-15'!G9+'NOVIEMBRE-15'!G9+'DICIEMBRE 2015'!G9</f>
        <v>0</v>
      </c>
      <c r="F32" s="79">
        <f>+'ENERO-15'!H9+'FEBRERO-15'!H9+'MARZO-15'!H9+'ABRIL-15'!H9+'MAYO-15'!H9+'JUNIO-15'!H9+'JULIO-15'!H9+'AGOSTO-15'!H9+'SETIEMBRE-15'!H9+'OCTUBRE-15'!H9+'NOVIEMBRE-15'!H9+'DICIEMBRE 2015'!H9</f>
        <v>0</v>
      </c>
      <c r="G32" s="79">
        <f>+'ENERO-15'!I9+'FEBRERO-15'!I9+'MARZO-15'!I9+'ABRIL-15'!I9+'MAYO-15'!I9+'JUNIO-15'!I9+'JULIO-15'!I9+'AGOSTO-15'!I9+'SETIEMBRE-15'!I9+'OCTUBRE-15'!I9+'NOVIEMBRE-15'!I9+'DICIEMBRE 2015'!I9</f>
        <v>0</v>
      </c>
      <c r="H32" s="79">
        <f>+'ENERO-15'!J9+'FEBRERO-15'!J9+'MARZO-15'!J9+'ABRIL-15'!J9+'MAYO-15'!J9+'JUNIO-15'!J9+'JULIO-15'!J9+'AGOSTO-15'!J9+'SETIEMBRE-15'!J9+'OCTUBRE-15'!J9+'NOVIEMBRE-15'!J9+'DICIEMBRE 2015'!J9</f>
        <v>565.85</v>
      </c>
      <c r="I32" s="79">
        <f>+'ENERO-15'!K9+'FEBRERO-15'!K9+'MARZO-15'!K9+'ABRIL-15'!K9+'MAYO-15'!K9+'JUNIO-15'!K9+'JULIO-15'!K9+'AGOSTO-15'!K9+'SETIEMBRE-15'!K9+'OCTUBRE-15'!K9+'NOVIEMBRE-15'!K9+'DICIEMBRE 2015'!K9</f>
        <v>0</v>
      </c>
      <c r="J32" s="79">
        <f>+'ENERO-15'!L9+'FEBRERO-15'!L9+'MARZO-15'!L9+'ABRIL-15'!L9+'MAYO-15'!L9+'JUNIO-15'!L9+'JULIO-15'!L9+'AGOSTO-15'!L9+'SETIEMBRE-15'!L9+'OCTUBRE-15'!L9+'NOVIEMBRE-15'!L9+'DICIEMBRE 2015'!L9</f>
        <v>0</v>
      </c>
      <c r="K32" s="79">
        <f>+'ENERO-15'!M9+'FEBRERO-15'!M9+'MARZO-15'!M9+'ABRIL-15'!M9+'MAYO-15'!M9+'JUNIO-15'!M9+'JULIO-15'!M9+'AGOSTO-15'!M9+'SETIEMBRE-15'!M9+'OCTUBRE-15'!M9+'NOVIEMBRE-15'!M9+'DICIEMBRE 2015'!M9</f>
        <v>0</v>
      </c>
      <c r="L32" s="79">
        <f>+'ENERO-15'!N9+'FEBRERO-15'!N9+'MARZO-15'!N9+'ABRIL-15'!N9+'MAYO-15'!N9+'JUNIO-15'!N9+'JULIO-15'!N9+'AGOSTO-15'!N9+'SETIEMBRE-15'!N9+'OCTUBRE-15'!N9+'NOVIEMBRE-15'!N9+'DICIEMBRE 2015'!N9</f>
        <v>0</v>
      </c>
      <c r="M32" s="79">
        <f>+'ENERO-15'!O9+'FEBRERO-15'!O9+'MARZO-15'!O9+'ABRIL-15'!O9+'MAYO-15'!O9+'JUNIO-15'!O9+'JULIO-15'!O9+'AGOSTO-15'!O9+'SETIEMBRE-15'!O9+'OCTUBRE-15'!O9+'NOVIEMBRE-15'!O9+'DICIEMBRE 2015'!O9</f>
        <v>3680.6499999999996</v>
      </c>
      <c r="N32" s="79">
        <f>+'ENERO-15'!P9+'FEBRERO-15'!P9+'MARZO-15'!P9+'ABRIL-15'!P9+'MAYO-15'!P9+'JUNIO-15'!P9+'JULIO-15'!P9+'AGOSTO-15'!P9+'SETIEMBRE-15'!P9+'OCTUBRE-15'!P9+'NOVIEMBRE-15'!P9+'DICIEMBRE 2015'!P9</f>
        <v>3114.8</v>
      </c>
      <c r="O32" s="79">
        <f>+'ENERO-15'!Q9+'FEBRERO-15'!Q9+'MARZO-15'!Q9+'ABRIL-15'!Q9+'MAYO-15'!Q9+'JUNIO-15'!Q9+'JULIO-15'!Q9+'AGOSTO-15'!Q9+'SETIEMBRE-15'!Q9+'OCTUBRE-15'!Q9+'NOVIEMBRE-15'!Q9+'DICIEMBRE 2015'!Q9</f>
        <v>280.332</v>
      </c>
      <c r="P32" s="79">
        <f>+'ENERO-15'!R9+'FEBRERO-15'!R9+'MARZO-15'!R9+'ABRIL-15'!R9+'MAYO-15'!R9+'JUNIO-15'!R9+'JULIO-15'!R9+'AGOSTO-15'!R9+'SETIEMBRE-15'!R9+'OCTUBRE-15'!R9+'NOVIEMBRE-15'!R9+'DICIEMBRE 2015'!R9</f>
        <v>0</v>
      </c>
      <c r="Q32" s="79">
        <f>+'ENERO-15'!S9+'FEBRERO-15'!S9+'MARZO-15'!S9+'ABRIL-15'!S9+'MAYO-15'!S9+'JUNIO-15'!S9+'JULIO-15'!S9+'AGOSTO-15'!S9+'SETIEMBRE-15'!S9+'OCTUBRE-15'!S9+'NOVIEMBRE-15'!S9+'DICIEMBRE 2015'!S9</f>
        <v>280.332</v>
      </c>
    </row>
    <row r="33" spans="1:17" ht="13.5">
      <c r="A33" s="77">
        <v>1</v>
      </c>
      <c r="B33" s="78" t="s">
        <v>20</v>
      </c>
      <c r="C33" s="79">
        <f>+'ENERO-15'!E10+'FEBRERO-15'!E10+'MARZO-15'!E10+'ABRIL-15'!E10+'MAYO-15'!E10+'JUNIO-15'!E10+'JULIO-15'!E10+'AGOSTO-15'!E10+'SETIEMBRE-15'!E10+'OCTUBRE-15'!E10+'NOVIEMBRE-15'!E10+'DICIEMBRE 2015'!E10</f>
        <v>10900</v>
      </c>
      <c r="D33" s="79">
        <f>+'ENERO-15'!F10+'FEBRERO-15'!F10+'MARZO-15'!F10+'ABRIL-15'!F10+'MAYO-15'!F10+'JUNIO-15'!F10+'JULIO-15'!F10+'AGOSTO-15'!F10+'SETIEMBRE-15'!F10+'OCTUBRE-15'!F10+'NOVIEMBRE-15'!F10+'DICIEMBRE 2015'!F10</f>
        <v>975</v>
      </c>
      <c r="E33" s="79">
        <f>+'ENERO-15'!G10+'FEBRERO-15'!G10+'MARZO-15'!G10+'ABRIL-15'!G10+'MAYO-15'!G10+'JUNIO-15'!G10+'JULIO-15'!G10+'AGOSTO-15'!G10+'SETIEMBRE-15'!G10+'OCTUBRE-15'!G10+'NOVIEMBRE-15'!G10+'DICIEMBRE 2015'!G10</f>
        <v>0</v>
      </c>
      <c r="F33" s="79">
        <f>+'ENERO-15'!H10+'FEBRERO-15'!H10+'MARZO-15'!H10+'ABRIL-15'!H10+'MAYO-15'!H10+'JUNIO-15'!H10+'JULIO-15'!H10+'AGOSTO-15'!H10+'SETIEMBRE-15'!H10+'OCTUBRE-15'!H10+'NOVIEMBRE-15'!H10+'DICIEMBRE 2015'!H10</f>
        <v>0</v>
      </c>
      <c r="G33" s="79">
        <f>+'ENERO-15'!I10+'FEBRERO-15'!I10+'MARZO-15'!I10+'ABRIL-15'!I10+'MAYO-15'!I10+'JUNIO-15'!I10+'JULIO-15'!I10+'AGOSTO-15'!I10+'SETIEMBRE-15'!I10+'OCTUBRE-15'!I10+'NOVIEMBRE-15'!I10+'DICIEMBRE 2015'!I10</f>
        <v>0</v>
      </c>
      <c r="H33" s="79">
        <f>+'ENERO-15'!J10+'FEBRERO-15'!J10+'MARZO-15'!J10+'ABRIL-15'!J10+'MAYO-15'!J10+'JUNIO-15'!J10+'JULIO-15'!J10+'AGOSTO-15'!J10+'SETIEMBRE-15'!J10+'OCTUBRE-15'!J10+'NOVIEMBRE-15'!J10+'DICIEMBRE 2015'!J10</f>
        <v>2143.67</v>
      </c>
      <c r="I33" s="79">
        <f>+'ENERO-15'!K10+'FEBRERO-15'!K10+'MARZO-15'!K10+'ABRIL-15'!K10+'MAYO-15'!K10+'JUNIO-15'!K10+'JULIO-15'!K10+'AGOSTO-15'!K10+'SETIEMBRE-15'!K10+'OCTUBRE-15'!K10+'NOVIEMBRE-15'!K10+'DICIEMBRE 2015'!K10</f>
        <v>0</v>
      </c>
      <c r="J33" s="79">
        <f>+'ENERO-15'!L10+'FEBRERO-15'!L10+'MARZO-15'!L10+'ABRIL-15'!L10+'MAYO-15'!L10+'JUNIO-15'!L10+'JULIO-15'!L10+'AGOSTO-15'!L10+'SETIEMBRE-15'!L10+'OCTUBRE-15'!L10+'NOVIEMBRE-15'!L10+'DICIEMBRE 2015'!L10</f>
        <v>0</v>
      </c>
      <c r="K33" s="79">
        <f>+'ENERO-15'!M10+'FEBRERO-15'!M10+'MARZO-15'!M10+'ABRIL-15'!M10+'MAYO-15'!M10+'JUNIO-15'!M10+'JULIO-15'!M10+'AGOSTO-15'!M10+'SETIEMBRE-15'!M10+'OCTUBRE-15'!M10+'NOVIEMBRE-15'!M10+'DICIEMBRE 2015'!M10</f>
        <v>0</v>
      </c>
      <c r="L33" s="79">
        <f>+'ENERO-15'!N10+'FEBRERO-15'!N10+'MARZO-15'!N10+'ABRIL-15'!N10+'MAYO-15'!N10+'JUNIO-15'!N10+'JULIO-15'!N10+'AGOSTO-15'!N10+'SETIEMBRE-15'!N10+'OCTUBRE-15'!N10+'NOVIEMBRE-15'!N10+'DICIEMBRE 2015'!N10</f>
        <v>0</v>
      </c>
      <c r="M33" s="79">
        <f>+'ENERO-15'!O10+'FEBRERO-15'!O10+'MARZO-15'!O10+'ABRIL-15'!O10+'MAYO-15'!O10+'JUNIO-15'!O10+'JULIO-15'!O10+'AGOSTO-15'!O10+'SETIEMBRE-15'!O10+'OCTUBRE-15'!O10+'NOVIEMBRE-15'!O10+'DICIEMBRE 2015'!O10</f>
        <v>14018.67</v>
      </c>
      <c r="N33" s="79">
        <f>+'ENERO-15'!P10+'FEBRERO-15'!P10+'MARZO-15'!P10+'ABRIL-15'!P10+'MAYO-15'!P10+'JUNIO-15'!P10+'JULIO-15'!P10+'AGOSTO-15'!P10+'SETIEMBRE-15'!P10+'OCTUBRE-15'!P10+'NOVIEMBRE-15'!P10+'DICIEMBRE 2015'!P10</f>
        <v>11875</v>
      </c>
      <c r="O33" s="79">
        <f>+'ENERO-15'!Q10+'FEBRERO-15'!Q10+'MARZO-15'!Q10+'ABRIL-15'!Q10+'MAYO-15'!Q10+'JUNIO-15'!Q10+'JULIO-15'!Q10+'AGOSTO-15'!Q10+'SETIEMBRE-15'!Q10+'OCTUBRE-15'!Q10+'NOVIEMBRE-15'!Q10+'DICIEMBRE 2015'!Q10</f>
        <v>1068.75</v>
      </c>
      <c r="P33" s="79">
        <f>+'ENERO-15'!R10+'FEBRERO-15'!R10+'MARZO-15'!R10+'ABRIL-15'!R10+'MAYO-15'!R10+'JUNIO-15'!R10+'JULIO-15'!R10+'AGOSTO-15'!R10+'SETIEMBRE-15'!R10+'OCTUBRE-15'!R10+'NOVIEMBRE-15'!R10+'DICIEMBRE 2015'!R10</f>
        <v>0</v>
      </c>
      <c r="Q33" s="79">
        <f>+'ENERO-15'!S10+'FEBRERO-15'!S10+'MARZO-15'!S10+'ABRIL-15'!S10+'MAYO-15'!S10+'JUNIO-15'!S10+'JULIO-15'!S10+'AGOSTO-15'!S10+'SETIEMBRE-15'!S10+'OCTUBRE-15'!S10+'NOVIEMBRE-15'!S10+'DICIEMBRE 2015'!S10</f>
        <v>1068.75</v>
      </c>
    </row>
    <row r="34" spans="1:17" ht="13.5">
      <c r="A34" s="77">
        <v>2</v>
      </c>
      <c r="B34" s="78" t="s">
        <v>15</v>
      </c>
      <c r="C34" s="79">
        <f>+'ENERO-15'!E11+'FEBRERO-15'!E11+'MARZO-15'!E11+'ABRIL-15'!E11+'MAYO-15'!E11+'JUNIO-15'!E11+'JULIO-15'!E11+'AGOSTO-15'!E11+'SETIEMBRE-15'!E11+'OCTUBRE-15'!E11+'NOVIEMBRE-15'!E11+'DICIEMBRE 2015'!E11</f>
        <v>12000</v>
      </c>
      <c r="D34" s="79">
        <f>+'ENERO-15'!F11+'FEBRERO-15'!F11+'MARZO-15'!F11+'ABRIL-15'!F11+'MAYO-15'!F11+'JUNIO-15'!F11+'JULIO-15'!F11+'AGOSTO-15'!F11+'SETIEMBRE-15'!F11+'OCTUBRE-15'!F11+'NOVIEMBRE-15'!F11+'DICIEMBRE 2015'!F11</f>
        <v>2400</v>
      </c>
      <c r="E34" s="79">
        <f>+'ENERO-15'!G11+'FEBRERO-15'!G11+'MARZO-15'!G11+'ABRIL-15'!G11+'MAYO-15'!G11+'JUNIO-15'!G11+'JULIO-15'!G11+'AGOSTO-15'!G11+'SETIEMBRE-15'!G11+'OCTUBRE-15'!G11+'NOVIEMBRE-15'!G11+'DICIEMBRE 2015'!G11</f>
        <v>0</v>
      </c>
      <c r="F34" s="79">
        <f>+'ENERO-15'!H11+'FEBRERO-15'!H11+'MARZO-15'!H11+'ABRIL-15'!H11+'MAYO-15'!H11+'JUNIO-15'!H11+'JULIO-15'!H11+'AGOSTO-15'!H11+'SETIEMBRE-15'!H11+'OCTUBRE-15'!H11+'NOVIEMBRE-15'!H11+'DICIEMBRE 2015'!H11</f>
        <v>0</v>
      </c>
      <c r="G34" s="79">
        <f>+'ENERO-15'!I11+'FEBRERO-15'!I11+'MARZO-15'!I11+'ABRIL-15'!I11+'MAYO-15'!I11+'JUNIO-15'!I11+'JULIO-15'!I11+'AGOSTO-15'!I11+'SETIEMBRE-15'!I11+'OCTUBRE-15'!I11+'NOVIEMBRE-15'!I11+'DICIEMBRE 2015'!I11</f>
        <v>0</v>
      </c>
      <c r="H34" s="79">
        <f>+'ENERO-15'!J11+'FEBRERO-15'!J11+'MARZO-15'!J11+'ABRIL-15'!J11+'MAYO-15'!J11+'JUNIO-15'!J11+'JULIO-15'!J11+'AGOSTO-15'!J11+'SETIEMBRE-15'!J11+'OCTUBRE-15'!J11+'NOVIEMBRE-15'!J11+'DICIEMBRE 2015'!J11</f>
        <v>2325.33</v>
      </c>
      <c r="I34" s="79">
        <f>+'ENERO-15'!K11+'FEBRERO-15'!K11+'MARZO-15'!K11+'ABRIL-15'!K11+'MAYO-15'!K11+'JUNIO-15'!K11+'JULIO-15'!K11+'AGOSTO-15'!K11+'SETIEMBRE-15'!K11+'OCTUBRE-15'!K11+'NOVIEMBRE-15'!K11+'DICIEMBRE 2015'!K11</f>
        <v>1075</v>
      </c>
      <c r="J34" s="79">
        <f>+'ENERO-15'!L11+'FEBRERO-15'!L11+'MARZO-15'!L11+'ABRIL-15'!L11+'MAYO-15'!L11+'JUNIO-15'!L11+'JULIO-15'!L11+'AGOSTO-15'!L11+'SETIEMBRE-15'!L11+'OCTUBRE-15'!L11+'NOVIEMBRE-15'!L11+'DICIEMBRE 2015'!L11</f>
        <v>0</v>
      </c>
      <c r="K34" s="79">
        <f>+'ENERO-15'!M11+'FEBRERO-15'!M11+'MARZO-15'!M11+'ABRIL-15'!M11+'MAYO-15'!M11+'JUNIO-15'!M11+'JULIO-15'!M11+'AGOSTO-15'!M11+'SETIEMBRE-15'!M11+'OCTUBRE-15'!M11+'NOVIEMBRE-15'!M11+'DICIEMBRE 2015'!M11</f>
        <v>0</v>
      </c>
      <c r="L34" s="79">
        <f>+'ENERO-15'!N11+'FEBRERO-15'!N11+'MARZO-15'!N11+'ABRIL-15'!N11+'MAYO-15'!N11+'JUNIO-15'!N11+'JULIO-15'!N11+'AGOSTO-15'!N11+'SETIEMBRE-15'!N11+'OCTUBRE-15'!N11+'NOVIEMBRE-15'!N11+'DICIEMBRE 2015'!N11</f>
        <v>0</v>
      </c>
      <c r="M34" s="79">
        <f>+'ENERO-15'!O11+'FEBRERO-15'!O11+'MARZO-15'!O11+'ABRIL-15'!O11+'MAYO-15'!O11+'JUNIO-15'!O11+'JULIO-15'!O11+'AGOSTO-15'!O11+'SETIEMBRE-15'!O11+'OCTUBRE-15'!O11+'NOVIEMBRE-15'!O11+'DICIEMBRE 2015'!O11</f>
        <v>17800.33</v>
      </c>
      <c r="N34" s="79">
        <f>+'ENERO-15'!P11+'FEBRERO-15'!P11+'MARZO-15'!P11+'ABRIL-15'!P11+'MAYO-15'!P11+'JUNIO-15'!P11+'JULIO-15'!P11+'AGOSTO-15'!P11+'SETIEMBRE-15'!P11+'OCTUBRE-15'!P11+'NOVIEMBRE-15'!P11+'DICIEMBRE 2015'!P11</f>
        <v>15475</v>
      </c>
      <c r="O34" s="79">
        <f>+'ENERO-15'!Q11+'FEBRERO-15'!Q11+'MARZO-15'!Q11+'ABRIL-15'!Q11+'MAYO-15'!Q11+'JUNIO-15'!Q11+'JULIO-15'!Q11+'AGOSTO-15'!Q11+'SETIEMBRE-15'!Q11+'OCTUBRE-15'!Q11+'NOVIEMBRE-15'!Q11+'DICIEMBRE 2015'!Q11</f>
        <v>1392.75</v>
      </c>
      <c r="P34" s="79">
        <f>+'ENERO-15'!R11+'FEBRERO-15'!R11+'MARZO-15'!R11+'ABRIL-15'!R11+'MAYO-15'!R11+'JUNIO-15'!R11+'JULIO-15'!R11+'AGOSTO-15'!R11+'SETIEMBRE-15'!R11+'OCTUBRE-15'!R11+'NOVIEMBRE-15'!R11+'DICIEMBRE 2015'!R11</f>
        <v>0</v>
      </c>
      <c r="Q34" s="79">
        <f>+'ENERO-15'!S11+'FEBRERO-15'!S11+'MARZO-15'!S11+'ABRIL-15'!S11+'MAYO-15'!S11+'JUNIO-15'!S11+'JULIO-15'!S11+'AGOSTO-15'!S11+'SETIEMBRE-15'!S11+'OCTUBRE-15'!S11+'NOVIEMBRE-15'!S11+'DICIEMBRE 2015'!S11</f>
        <v>1392.75</v>
      </c>
    </row>
    <row r="35" spans="1:17" s="95" customFormat="1" ht="15" customHeight="1" thickBot="1">
      <c r="A35" s="102" t="s">
        <v>63</v>
      </c>
      <c r="B35" s="103"/>
      <c r="C35" s="94">
        <f>SUM(C32:C34)</f>
        <v>26014.8</v>
      </c>
      <c r="D35" s="94">
        <f aca="true" t="shared" si="3" ref="D35:Q35">SUM(D32:D34)</f>
        <v>3375</v>
      </c>
      <c r="E35" s="94">
        <f t="shared" si="3"/>
        <v>0</v>
      </c>
      <c r="F35" s="94">
        <f t="shared" si="3"/>
        <v>0</v>
      </c>
      <c r="G35" s="94">
        <f t="shared" si="3"/>
        <v>0</v>
      </c>
      <c r="H35" s="94">
        <f t="shared" si="3"/>
        <v>5034.85</v>
      </c>
      <c r="I35" s="94">
        <f t="shared" si="3"/>
        <v>1075</v>
      </c>
      <c r="J35" s="94">
        <f t="shared" si="3"/>
        <v>0</v>
      </c>
      <c r="K35" s="94">
        <f t="shared" si="3"/>
        <v>0</v>
      </c>
      <c r="L35" s="94">
        <f t="shared" si="3"/>
        <v>0</v>
      </c>
      <c r="M35" s="94">
        <f t="shared" si="3"/>
        <v>35499.65</v>
      </c>
      <c r="N35" s="94">
        <f t="shared" si="3"/>
        <v>30464.8</v>
      </c>
      <c r="O35" s="94">
        <f t="shared" si="3"/>
        <v>2741.832</v>
      </c>
      <c r="P35" s="94">
        <f t="shared" si="3"/>
        <v>0</v>
      </c>
      <c r="Q35" s="94">
        <f t="shared" si="3"/>
        <v>2741.832</v>
      </c>
    </row>
    <row r="36" spans="1:17" ht="14.25" thickTop="1">
      <c r="A36" s="87"/>
      <c r="B36" s="88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</row>
    <row r="37" spans="1:17" ht="13.5">
      <c r="A37" s="100" t="s">
        <v>60</v>
      </c>
      <c r="B37" s="100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</row>
    <row r="38" spans="1:17" ht="13.5">
      <c r="A38" s="101" t="s">
        <v>57</v>
      </c>
      <c r="B38" s="101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</row>
    <row r="39" spans="1:17" ht="13.5">
      <c r="A39" s="77">
        <v>1</v>
      </c>
      <c r="B39" s="78" t="s">
        <v>12</v>
      </c>
      <c r="C39" s="79">
        <f>+'ENERO-15'!E12+'FEBRERO-15'!E12+'MARZO-15'!E12+'ABRIL-15'!E12+'MAYO-15'!E12+'JUNIO-15'!E12+'JULIO-15'!E12+'AGOSTO-15'!E12+'SETIEMBRE-15'!E12+'OCTUBRE-15'!E12+'NOVIEMBRE-15'!E12+'DICIEMBRE 2015'!E12</f>
        <v>7500</v>
      </c>
      <c r="D39" s="79">
        <f>+'ENERO-15'!F12+'FEBRERO-15'!F12+'MARZO-15'!F12+'ABRIL-15'!F12+'MAYO-15'!F12+'JUNIO-15'!F12+'JULIO-15'!F12+'AGOSTO-15'!F12+'SETIEMBRE-15'!F12+'OCTUBRE-15'!F12+'NOVIEMBRE-15'!F12+'DICIEMBRE 2015'!F12</f>
        <v>1694</v>
      </c>
      <c r="E39" s="79">
        <f>+'ENERO-15'!G12+'FEBRERO-15'!G12+'MARZO-15'!G12+'ABRIL-15'!G12+'MAYO-15'!G12+'JUNIO-15'!G12+'JULIO-15'!G12+'AGOSTO-15'!G12+'SETIEMBRE-15'!G12+'OCTUBRE-15'!G12+'NOVIEMBRE-15'!G12+'DICIEMBRE 2015'!G12</f>
        <v>0</v>
      </c>
      <c r="F39" s="79">
        <f>+'ENERO-15'!H12+'FEBRERO-15'!H12+'MARZO-15'!H12+'ABRIL-15'!H12+'MAYO-15'!H12+'JUNIO-15'!H12+'JULIO-15'!H12+'AGOSTO-15'!H12+'SETIEMBRE-15'!H12+'OCTUBRE-15'!H12+'NOVIEMBRE-15'!H12+'DICIEMBRE 2015'!H12</f>
        <v>0</v>
      </c>
      <c r="G39" s="79">
        <f>+'ENERO-15'!I12+'FEBRERO-15'!I12+'MARZO-15'!I12+'ABRIL-15'!I12+'MAYO-15'!I12+'JUNIO-15'!I12+'JULIO-15'!I12+'AGOSTO-15'!I12+'SETIEMBRE-15'!I12+'OCTUBRE-15'!I12+'NOVIEMBRE-15'!I12+'DICIEMBRE 2015'!I12</f>
        <v>0</v>
      </c>
      <c r="H39" s="79">
        <f>+'ENERO-15'!J12+'FEBRERO-15'!J12+'MARZO-15'!J12+'ABRIL-15'!J12+'MAYO-15'!J12+'JUNIO-15'!J12+'JULIO-15'!J12+'AGOSTO-15'!J12+'SETIEMBRE-15'!J12+'OCTUBRE-15'!J12+'NOVIEMBRE-15'!J12+'DICIEMBRE 2015'!J12</f>
        <v>1117.25</v>
      </c>
      <c r="I39" s="79">
        <f>+'ENERO-15'!K12+'FEBRERO-15'!K12+'MARZO-15'!K12+'ABRIL-15'!K12+'MAYO-15'!K12+'JUNIO-15'!K12+'JULIO-15'!K12+'AGOSTO-15'!K12+'SETIEMBRE-15'!K12+'OCTUBRE-15'!K12+'NOVIEMBRE-15'!K12+'DICIEMBRE 2015'!K12</f>
        <v>0</v>
      </c>
      <c r="J39" s="79">
        <f>+'ENERO-15'!L12+'FEBRERO-15'!L12+'MARZO-15'!L12+'ABRIL-15'!L12+'MAYO-15'!L12+'JUNIO-15'!L12+'JULIO-15'!L12+'AGOSTO-15'!L12+'SETIEMBRE-15'!L12+'OCTUBRE-15'!L12+'NOVIEMBRE-15'!L12+'DICIEMBRE 2015'!L12</f>
        <v>0</v>
      </c>
      <c r="K39" s="79">
        <f>+'ENERO-15'!M12+'FEBRERO-15'!M12+'MARZO-15'!M12+'ABRIL-15'!M12+'MAYO-15'!M12+'JUNIO-15'!M12+'JULIO-15'!M12+'AGOSTO-15'!M12+'SETIEMBRE-15'!M12+'OCTUBRE-15'!M12+'NOVIEMBRE-15'!M12+'DICIEMBRE 2015'!M12</f>
        <v>9.600000000000001</v>
      </c>
      <c r="L39" s="79">
        <f>+'ENERO-15'!N12+'FEBRERO-15'!N12+'MARZO-15'!N12+'ABRIL-15'!N12+'MAYO-15'!N12+'JUNIO-15'!N12+'JULIO-15'!N12+'AGOSTO-15'!N12+'SETIEMBRE-15'!N12+'OCTUBRE-15'!N12+'NOVIEMBRE-15'!N12+'DICIEMBRE 2015'!N12</f>
        <v>0</v>
      </c>
      <c r="M39" s="79">
        <f>+'ENERO-15'!O12+'FEBRERO-15'!O12+'MARZO-15'!O12+'ABRIL-15'!O12+'MAYO-15'!O12+'JUNIO-15'!O12+'JULIO-15'!O12+'AGOSTO-15'!O12+'SETIEMBRE-15'!O12+'OCTUBRE-15'!O12+'NOVIEMBRE-15'!O12+'DICIEMBRE 2015'!O12</f>
        <v>10320.849999999999</v>
      </c>
      <c r="N39" s="79">
        <f>+'ENERO-15'!P12+'FEBRERO-15'!P12+'MARZO-15'!P12+'ABRIL-15'!P12+'MAYO-15'!P12+'JUNIO-15'!P12+'JULIO-15'!P12+'AGOSTO-15'!P12+'SETIEMBRE-15'!P12+'OCTUBRE-15'!P12+'NOVIEMBRE-15'!P12+'DICIEMBRE 2015'!P12</f>
        <v>9194</v>
      </c>
      <c r="O39" s="79">
        <f>+'ENERO-15'!Q12+'FEBRERO-15'!Q12+'MARZO-15'!Q12+'ABRIL-15'!Q12+'MAYO-15'!Q12+'JUNIO-15'!Q12+'JULIO-15'!Q12+'AGOSTO-15'!Q12+'SETIEMBRE-15'!Q12+'OCTUBRE-15'!Q12+'NOVIEMBRE-15'!Q12+'DICIEMBRE 2015'!Q12</f>
        <v>827.46</v>
      </c>
      <c r="P39" s="79">
        <f>+'ENERO-15'!R12+'FEBRERO-15'!R12+'MARZO-15'!R12+'ABRIL-15'!R12+'MAYO-15'!R12+'JUNIO-15'!R12+'JULIO-15'!R12+'AGOSTO-15'!R12+'SETIEMBRE-15'!R12+'OCTUBRE-15'!R12+'NOVIEMBRE-15'!R12+'DICIEMBRE 2015'!R12</f>
        <v>0</v>
      </c>
      <c r="Q39" s="79">
        <f>+'ENERO-15'!S12+'FEBRERO-15'!S12+'MARZO-15'!S12+'ABRIL-15'!S12+'MAYO-15'!S12+'JUNIO-15'!S12+'JULIO-15'!S12+'AGOSTO-15'!S12+'SETIEMBRE-15'!S12+'OCTUBRE-15'!S12+'NOVIEMBRE-15'!S12+'DICIEMBRE 2015'!S12</f>
        <v>827.46</v>
      </c>
    </row>
    <row r="40" spans="1:17" ht="13.5">
      <c r="A40" s="77">
        <v>2</v>
      </c>
      <c r="B40" s="78" t="s">
        <v>11</v>
      </c>
      <c r="C40" s="79">
        <f>+'ENERO-15'!E13+'FEBRERO-15'!E13+'MARZO-15'!E13+'ABRIL-15'!E13+'MAYO-15'!E13+'JUNIO-15'!E13+'JULIO-15'!E13+'AGOSTO-15'!E13+'SETIEMBRE-15'!E13+'OCTUBRE-15'!E13+'NOVIEMBRE-15'!E13+'DICIEMBRE 2015'!E13</f>
        <v>10560</v>
      </c>
      <c r="D40" s="79">
        <f>+'ENERO-15'!F13+'FEBRERO-15'!F13+'MARZO-15'!F13+'ABRIL-15'!F13+'MAYO-15'!F13+'JUNIO-15'!F13+'JULIO-15'!F13+'AGOSTO-15'!F13+'SETIEMBRE-15'!F13+'OCTUBRE-15'!F13+'NOVIEMBRE-15'!F13+'DICIEMBRE 2015'!F13</f>
        <v>3626.6400000000003</v>
      </c>
      <c r="E40" s="79">
        <f>+'ENERO-15'!G13+'FEBRERO-15'!G13+'MARZO-15'!G13+'ABRIL-15'!G13+'MAYO-15'!G13+'JUNIO-15'!G13+'JULIO-15'!G13+'AGOSTO-15'!G13+'SETIEMBRE-15'!G13+'OCTUBRE-15'!G13+'NOVIEMBRE-15'!G13+'DICIEMBRE 2015'!G13</f>
        <v>0</v>
      </c>
      <c r="F40" s="79">
        <f>+'ENERO-15'!H13+'FEBRERO-15'!H13+'MARZO-15'!H13+'ABRIL-15'!H13+'MAYO-15'!H13+'JUNIO-15'!H13+'JULIO-15'!H13+'AGOSTO-15'!H13+'SETIEMBRE-15'!H13+'OCTUBRE-15'!H13+'NOVIEMBRE-15'!H13+'DICIEMBRE 2015'!H13</f>
        <v>0</v>
      </c>
      <c r="G40" s="79">
        <f>+'ENERO-15'!I13+'FEBRERO-15'!I13+'MARZO-15'!I13+'ABRIL-15'!I13+'MAYO-15'!I13+'JUNIO-15'!I13+'JULIO-15'!I13+'AGOSTO-15'!I13+'SETIEMBRE-15'!I13+'OCTUBRE-15'!I13+'NOVIEMBRE-15'!I13+'DICIEMBRE 2015'!I13</f>
        <v>0</v>
      </c>
      <c r="H40" s="79">
        <f>+'ENERO-15'!J13+'FEBRERO-15'!J13+'MARZO-15'!J13+'ABRIL-15'!J13+'MAYO-15'!J13+'JUNIO-15'!J13+'JULIO-15'!J13+'AGOSTO-15'!J13+'SETIEMBRE-15'!J13+'OCTUBRE-15'!J13+'NOVIEMBRE-15'!J13+'DICIEMBRE 2015'!J13</f>
        <v>2014.3200000000002</v>
      </c>
      <c r="I40" s="79">
        <f>+'ENERO-15'!K13+'FEBRERO-15'!K13+'MARZO-15'!K13+'ABRIL-15'!K13+'MAYO-15'!K13+'JUNIO-15'!K13+'JULIO-15'!K13+'AGOSTO-15'!K13+'SETIEMBRE-15'!K13+'OCTUBRE-15'!K13+'NOVIEMBRE-15'!K13+'DICIEMBRE 2015'!K13</f>
        <v>880</v>
      </c>
      <c r="J40" s="79">
        <f>+'ENERO-15'!L13+'FEBRERO-15'!L13+'MARZO-15'!L13+'ABRIL-15'!L13+'MAYO-15'!L13+'JUNIO-15'!L13+'JULIO-15'!L13+'AGOSTO-15'!L13+'SETIEMBRE-15'!L13+'OCTUBRE-15'!L13+'NOVIEMBRE-15'!L13+'DICIEMBRE 2015'!L13</f>
        <v>0</v>
      </c>
      <c r="K40" s="79">
        <f>+'ENERO-15'!M13+'FEBRERO-15'!M13+'MARZO-15'!M13+'ABRIL-15'!M13+'MAYO-15'!M13+'JUNIO-15'!M13+'JULIO-15'!M13+'AGOSTO-15'!M13+'SETIEMBRE-15'!M13+'OCTUBRE-15'!M13+'NOVIEMBRE-15'!M13+'DICIEMBRE 2015'!M13</f>
        <v>1035</v>
      </c>
      <c r="L40" s="79">
        <f>+'ENERO-15'!N13+'FEBRERO-15'!N13+'MARZO-15'!N13+'ABRIL-15'!N13+'MAYO-15'!N13+'JUNIO-15'!N13+'JULIO-15'!N13+'AGOSTO-15'!N13+'SETIEMBRE-15'!N13+'OCTUBRE-15'!N13+'NOVIEMBRE-15'!N13+'DICIEMBRE 2015'!N13</f>
        <v>0</v>
      </c>
      <c r="M40" s="79">
        <f>+'ENERO-15'!O13+'FEBRERO-15'!O13+'MARZO-15'!O13+'ABRIL-15'!O13+'MAYO-15'!O13+'JUNIO-15'!O13+'JULIO-15'!O13+'AGOSTO-15'!O13+'SETIEMBRE-15'!O13+'OCTUBRE-15'!O13+'NOVIEMBRE-15'!O13+'DICIEMBRE 2015'!O13</f>
        <v>18115.96</v>
      </c>
      <c r="N40" s="79">
        <f>+'ENERO-15'!P13+'FEBRERO-15'!P13+'MARZO-15'!P13+'ABRIL-15'!P13+'MAYO-15'!P13+'JUNIO-15'!P13+'JULIO-15'!P13+'AGOSTO-15'!P13+'SETIEMBRE-15'!P13+'OCTUBRE-15'!P13+'NOVIEMBRE-15'!P13+'DICIEMBRE 2015'!P13</f>
        <v>15066.64</v>
      </c>
      <c r="O40" s="79">
        <f>+'ENERO-15'!Q13+'FEBRERO-15'!Q13+'MARZO-15'!Q13+'ABRIL-15'!Q13+'MAYO-15'!Q13+'JUNIO-15'!Q13+'JULIO-15'!Q13+'AGOSTO-15'!Q13+'SETIEMBRE-15'!Q13+'OCTUBRE-15'!Q13+'NOVIEMBRE-15'!Q13+'DICIEMBRE 2015'!Q13</f>
        <v>1355.9975999999997</v>
      </c>
      <c r="P40" s="79">
        <f>+'ENERO-15'!R13+'FEBRERO-15'!R13+'MARZO-15'!R13+'ABRIL-15'!R13+'MAYO-15'!R13+'JUNIO-15'!R13+'JULIO-15'!R13+'AGOSTO-15'!R13+'SETIEMBRE-15'!R13+'OCTUBRE-15'!R13+'NOVIEMBRE-15'!R13+'DICIEMBRE 2015'!R13</f>
        <v>0</v>
      </c>
      <c r="Q40" s="79">
        <f>+'ENERO-15'!S13+'FEBRERO-15'!S13+'MARZO-15'!S13+'ABRIL-15'!S13+'MAYO-15'!S13+'JUNIO-15'!S13+'JULIO-15'!S13+'AGOSTO-15'!S13+'SETIEMBRE-15'!S13+'OCTUBRE-15'!S13+'NOVIEMBRE-15'!S13+'DICIEMBRE 2015'!S13</f>
        <v>1355.9975999999997</v>
      </c>
    </row>
    <row r="41" spans="1:17" ht="13.5">
      <c r="A41" s="77">
        <v>3</v>
      </c>
      <c r="B41" s="78" t="s">
        <v>13</v>
      </c>
      <c r="C41" s="79">
        <f>+'ENERO-15'!E14+'FEBRERO-15'!E14+'MARZO-15'!E14+'ABRIL-15'!E14+'MAYO-15'!E14+'JUNIO-15'!E14+'JULIO-15'!E14+'AGOSTO-15'!E14+'SETIEMBRE-15'!E14+'OCTUBRE-15'!E14+'NOVIEMBRE-15'!E14+'DICIEMBRE 2015'!E14</f>
        <v>2250</v>
      </c>
      <c r="D41" s="79">
        <f>+'ENERO-15'!F14+'FEBRERO-15'!F14+'MARZO-15'!F14+'ABRIL-15'!F14+'MAYO-15'!F14+'JUNIO-15'!F14+'JULIO-15'!F14+'AGOSTO-15'!F14+'SETIEMBRE-15'!F14+'OCTUBRE-15'!F14+'NOVIEMBRE-15'!F14+'DICIEMBRE 2015'!F14</f>
        <v>304</v>
      </c>
      <c r="E41" s="79">
        <f>+'ENERO-15'!G14+'FEBRERO-15'!G14+'MARZO-15'!G14+'ABRIL-15'!G14+'MAYO-15'!G14+'JUNIO-15'!G14+'JULIO-15'!G14+'AGOSTO-15'!G14+'SETIEMBRE-15'!G14+'OCTUBRE-15'!G14+'NOVIEMBRE-15'!G14+'DICIEMBRE 2015'!G14</f>
        <v>0</v>
      </c>
      <c r="F41" s="79">
        <f>+'ENERO-15'!H14+'FEBRERO-15'!H14+'MARZO-15'!H14+'ABRIL-15'!H14+'MAYO-15'!H14+'JUNIO-15'!H14+'JULIO-15'!H14+'AGOSTO-15'!H14+'SETIEMBRE-15'!H14+'OCTUBRE-15'!H14+'NOVIEMBRE-15'!H14+'DICIEMBRE 2015'!H14</f>
        <v>0</v>
      </c>
      <c r="G41" s="79">
        <f>+'ENERO-15'!I14+'FEBRERO-15'!I14+'MARZO-15'!I14+'ABRIL-15'!I14+'MAYO-15'!I14+'JUNIO-15'!I14+'JULIO-15'!I14+'AGOSTO-15'!I14+'SETIEMBRE-15'!I14+'OCTUBRE-15'!I14+'NOVIEMBRE-15'!I14+'DICIEMBRE 2015'!I14</f>
        <v>0</v>
      </c>
      <c r="H41" s="79">
        <f>+'ENERO-15'!J14+'FEBRERO-15'!J14+'MARZO-15'!J14+'ABRIL-15'!J14+'MAYO-15'!J14+'JUNIO-15'!J14+'JULIO-15'!J14+'AGOSTO-15'!J14+'SETIEMBRE-15'!J14+'OCTUBRE-15'!J14+'NOVIEMBRE-15'!J14+'DICIEMBRE 2015'!J14</f>
        <v>0</v>
      </c>
      <c r="I41" s="79">
        <f>+'ENERO-15'!K14+'FEBRERO-15'!K14+'MARZO-15'!K14+'ABRIL-15'!K14+'MAYO-15'!K14+'JUNIO-15'!K14+'JULIO-15'!K14+'AGOSTO-15'!K14+'SETIEMBRE-15'!K14+'OCTUBRE-15'!K14+'NOVIEMBRE-15'!K14+'DICIEMBRE 2015'!K14</f>
        <v>0</v>
      </c>
      <c r="J41" s="79">
        <f>+'ENERO-15'!L14+'FEBRERO-15'!L14+'MARZO-15'!L14+'ABRIL-15'!L14+'MAYO-15'!L14+'JUNIO-15'!L14+'JULIO-15'!L14+'AGOSTO-15'!L14+'SETIEMBRE-15'!L14+'OCTUBRE-15'!L14+'NOVIEMBRE-15'!L14+'DICIEMBRE 2015'!L14</f>
        <v>0</v>
      </c>
      <c r="K41" s="79">
        <f>+'ENERO-15'!M14+'FEBRERO-15'!M14+'MARZO-15'!M14+'ABRIL-15'!M14+'MAYO-15'!M14+'JUNIO-15'!M14+'JULIO-15'!M14+'AGOSTO-15'!M14+'SETIEMBRE-15'!M14+'OCTUBRE-15'!M14+'NOVIEMBRE-15'!M14+'DICIEMBRE 2015'!M14</f>
        <v>0</v>
      </c>
      <c r="L41" s="79">
        <f>+'ENERO-15'!N14+'FEBRERO-15'!N14+'MARZO-15'!N14+'ABRIL-15'!N14+'MAYO-15'!N14+'JUNIO-15'!N14+'JULIO-15'!N14+'AGOSTO-15'!N14+'SETIEMBRE-15'!N14+'OCTUBRE-15'!N14+'NOVIEMBRE-15'!N14+'DICIEMBRE 2015'!N14</f>
        <v>0</v>
      </c>
      <c r="M41" s="79">
        <f>+'ENERO-15'!O14+'FEBRERO-15'!O14+'MARZO-15'!O14+'ABRIL-15'!O14+'MAYO-15'!O14+'JUNIO-15'!O14+'JULIO-15'!O14+'AGOSTO-15'!O14+'SETIEMBRE-15'!O14+'OCTUBRE-15'!O14+'NOVIEMBRE-15'!O14+'DICIEMBRE 2015'!O14</f>
        <v>2554</v>
      </c>
      <c r="N41" s="79">
        <f>+'ENERO-15'!P14+'FEBRERO-15'!P14+'MARZO-15'!P14+'ABRIL-15'!P14+'MAYO-15'!P14+'JUNIO-15'!P14+'JULIO-15'!P14+'AGOSTO-15'!P14+'SETIEMBRE-15'!P14+'OCTUBRE-15'!P14+'NOVIEMBRE-15'!P14+'DICIEMBRE 2015'!P14</f>
        <v>2554</v>
      </c>
      <c r="O41" s="79">
        <f>+'ENERO-15'!Q14+'FEBRERO-15'!Q14+'MARZO-15'!Q14+'ABRIL-15'!Q14+'MAYO-15'!Q14+'JUNIO-15'!Q14+'JULIO-15'!Q14+'AGOSTO-15'!Q14+'SETIEMBRE-15'!Q14+'OCTUBRE-15'!Q14+'NOVIEMBRE-15'!Q14+'DICIEMBRE 2015'!Q14</f>
        <v>229.86</v>
      </c>
      <c r="P41" s="79">
        <f>+'ENERO-15'!R14+'FEBRERO-15'!R14+'MARZO-15'!R14+'ABRIL-15'!R14+'MAYO-15'!R14+'JUNIO-15'!R14+'JULIO-15'!R14+'AGOSTO-15'!R14+'SETIEMBRE-15'!R14+'OCTUBRE-15'!R14+'NOVIEMBRE-15'!R14+'DICIEMBRE 2015'!R14</f>
        <v>0</v>
      </c>
      <c r="Q41" s="79">
        <f>+'ENERO-15'!S14+'FEBRERO-15'!S14+'MARZO-15'!S14+'ABRIL-15'!S14+'MAYO-15'!S14+'JUNIO-15'!S14+'JULIO-15'!S14+'AGOSTO-15'!S14+'SETIEMBRE-15'!S14+'OCTUBRE-15'!S14+'NOVIEMBRE-15'!S14+'DICIEMBRE 2015'!S14</f>
        <v>229.86</v>
      </c>
    </row>
    <row r="42" spans="1:17" ht="13.5">
      <c r="A42" s="77">
        <v>3</v>
      </c>
      <c r="B42" s="78" t="s">
        <v>14</v>
      </c>
      <c r="C42" s="79">
        <f>+'ENERO-15'!E15+'FEBRERO-15'!E15+'MARZO-15'!E15+'ABRIL-15'!E15+'MAYO-15'!E15+'JUNIO-15'!E15+'JULIO-15'!E15+'AGOSTO-15'!E15+'SETIEMBRE-15'!E15+'OCTUBRE-15'!E15+'NOVIEMBRE-15'!E15+'DICIEMBRE 2015'!E15</f>
        <v>7500</v>
      </c>
      <c r="D42" s="79">
        <f>+'ENERO-15'!F15+'FEBRERO-15'!F15+'MARZO-15'!F15+'ABRIL-15'!F15+'MAYO-15'!F15+'JUNIO-15'!F15+'JULIO-15'!F15+'AGOSTO-15'!F15+'SETIEMBRE-15'!F15+'OCTUBRE-15'!F15+'NOVIEMBRE-15'!F15+'DICIEMBRE 2015'!F15</f>
        <v>1674</v>
      </c>
      <c r="E42" s="79">
        <f>+'ENERO-15'!G15+'FEBRERO-15'!G15+'MARZO-15'!G15+'ABRIL-15'!G15+'MAYO-15'!G15+'JUNIO-15'!G15+'JULIO-15'!G15+'AGOSTO-15'!G15+'SETIEMBRE-15'!G15+'OCTUBRE-15'!G15+'NOVIEMBRE-15'!G15+'DICIEMBRE 2015'!G15</f>
        <v>0</v>
      </c>
      <c r="F42" s="79">
        <f>+'ENERO-15'!H15+'FEBRERO-15'!H15+'MARZO-15'!H15+'ABRIL-15'!H15+'MAYO-15'!H15+'JUNIO-15'!H15+'JULIO-15'!H15+'AGOSTO-15'!H15+'SETIEMBRE-15'!H15+'OCTUBRE-15'!H15+'NOVIEMBRE-15'!H15+'DICIEMBRE 2015'!H15</f>
        <v>0</v>
      </c>
      <c r="G42" s="79">
        <f>+'ENERO-15'!I15+'FEBRERO-15'!I15+'MARZO-15'!I15+'ABRIL-15'!I15+'MAYO-15'!I15+'JUNIO-15'!I15+'JULIO-15'!I15+'AGOSTO-15'!I15+'SETIEMBRE-15'!I15+'OCTUBRE-15'!I15+'NOVIEMBRE-15'!I15+'DICIEMBRE 2015'!I15</f>
        <v>0</v>
      </c>
      <c r="H42" s="79">
        <f>+'ENERO-15'!J15+'FEBRERO-15'!J15+'MARZO-15'!J15+'ABRIL-15'!J15+'MAYO-15'!J15+'JUNIO-15'!J15+'JULIO-15'!J15+'AGOSTO-15'!J15+'SETIEMBRE-15'!J15+'OCTUBRE-15'!J15+'NOVIEMBRE-15'!J15+'DICIEMBRE 2015'!J15</f>
        <v>1117.25</v>
      </c>
      <c r="I42" s="79">
        <f>+'ENERO-15'!K15+'FEBRERO-15'!K15+'MARZO-15'!K15+'ABRIL-15'!K15+'MAYO-15'!K15+'JUNIO-15'!K15+'JULIO-15'!K15+'AGOSTO-15'!K15+'SETIEMBRE-15'!K15+'OCTUBRE-15'!K15+'NOVIEMBRE-15'!K15+'DICIEMBRE 2015'!K15</f>
        <v>0</v>
      </c>
      <c r="J42" s="79">
        <f>+'ENERO-15'!L15+'FEBRERO-15'!L15+'MARZO-15'!L15+'ABRIL-15'!L15+'MAYO-15'!L15+'JUNIO-15'!L15+'JULIO-15'!L15+'AGOSTO-15'!L15+'SETIEMBRE-15'!L15+'OCTUBRE-15'!L15+'NOVIEMBRE-15'!L15+'DICIEMBRE 2015'!L15</f>
        <v>0</v>
      </c>
      <c r="K42" s="79">
        <f>+'ENERO-15'!M15+'FEBRERO-15'!M15+'MARZO-15'!M15+'ABRIL-15'!M15+'MAYO-15'!M15+'JUNIO-15'!M15+'JULIO-15'!M15+'AGOSTO-15'!M15+'SETIEMBRE-15'!M15+'OCTUBRE-15'!M15+'NOVIEMBRE-15'!M15+'DICIEMBRE 2015'!M15</f>
        <v>34.5</v>
      </c>
      <c r="L42" s="79">
        <f>+'ENERO-15'!N15+'FEBRERO-15'!N15+'MARZO-15'!N15+'ABRIL-15'!N15+'MAYO-15'!N15+'JUNIO-15'!N15+'JULIO-15'!N15+'AGOSTO-15'!N15+'SETIEMBRE-15'!N15+'OCTUBRE-15'!N15+'NOVIEMBRE-15'!N15+'DICIEMBRE 2015'!N15</f>
        <v>0</v>
      </c>
      <c r="M42" s="79">
        <f>+'ENERO-15'!O15+'FEBRERO-15'!O15+'MARZO-15'!O15+'ABRIL-15'!O15+'MAYO-15'!O15+'JUNIO-15'!O15+'JULIO-15'!O15+'AGOSTO-15'!O15+'SETIEMBRE-15'!O15+'OCTUBRE-15'!O15+'NOVIEMBRE-15'!O15+'DICIEMBRE 2015'!O15</f>
        <v>10325.75</v>
      </c>
      <c r="N42" s="79">
        <f>+'ENERO-15'!P15+'FEBRERO-15'!P15+'MARZO-15'!P15+'ABRIL-15'!P15+'MAYO-15'!P15+'JUNIO-15'!P15+'JULIO-15'!P15+'AGOSTO-15'!P15+'SETIEMBRE-15'!P15+'OCTUBRE-15'!P15+'NOVIEMBRE-15'!P15+'DICIEMBRE 2015'!P15</f>
        <v>9174</v>
      </c>
      <c r="O42" s="79">
        <f>+'ENERO-15'!Q15+'FEBRERO-15'!Q15+'MARZO-15'!Q15+'ABRIL-15'!Q15+'MAYO-15'!Q15+'JUNIO-15'!Q15+'JULIO-15'!Q15+'AGOSTO-15'!Q15+'SETIEMBRE-15'!Q15+'OCTUBRE-15'!Q15+'NOVIEMBRE-15'!Q15+'DICIEMBRE 2015'!Q15</f>
        <v>825.66</v>
      </c>
      <c r="P42" s="79">
        <f>+'ENERO-15'!R15+'FEBRERO-15'!R15+'MARZO-15'!R15+'ABRIL-15'!R15+'MAYO-15'!R15+'JUNIO-15'!R15+'JULIO-15'!R15+'AGOSTO-15'!R15+'SETIEMBRE-15'!R15+'OCTUBRE-15'!R15+'NOVIEMBRE-15'!R15+'DICIEMBRE 2015'!R15</f>
        <v>0</v>
      </c>
      <c r="Q42" s="79">
        <f>+'ENERO-15'!S15+'FEBRERO-15'!S15+'MARZO-15'!S15+'ABRIL-15'!S15+'MAYO-15'!S15+'JUNIO-15'!S15+'JULIO-15'!S15+'AGOSTO-15'!S15+'SETIEMBRE-15'!S15+'OCTUBRE-15'!S15+'NOVIEMBRE-15'!S15+'DICIEMBRE 2015'!S15</f>
        <v>825.66</v>
      </c>
    </row>
    <row r="43" spans="1:17" s="95" customFormat="1" ht="15" customHeight="1" thickBot="1">
      <c r="A43" s="102" t="s">
        <v>63</v>
      </c>
      <c r="B43" s="103"/>
      <c r="C43" s="94">
        <f>SUM(C39:C42)</f>
        <v>27810</v>
      </c>
      <c r="D43" s="94">
        <f aca="true" t="shared" si="4" ref="D43:Q43">SUM(D39:D42)</f>
        <v>7298.64</v>
      </c>
      <c r="E43" s="94">
        <f t="shared" si="4"/>
        <v>0</v>
      </c>
      <c r="F43" s="94">
        <f t="shared" si="4"/>
        <v>0</v>
      </c>
      <c r="G43" s="94">
        <f t="shared" si="4"/>
        <v>0</v>
      </c>
      <c r="H43" s="94">
        <f t="shared" si="4"/>
        <v>4248.82</v>
      </c>
      <c r="I43" s="94">
        <f t="shared" si="4"/>
        <v>880</v>
      </c>
      <c r="J43" s="94">
        <f t="shared" si="4"/>
        <v>0</v>
      </c>
      <c r="K43" s="94">
        <f t="shared" si="4"/>
        <v>1079.1</v>
      </c>
      <c r="L43" s="94">
        <f t="shared" si="4"/>
        <v>0</v>
      </c>
      <c r="M43" s="94">
        <f t="shared" si="4"/>
        <v>41316.56</v>
      </c>
      <c r="N43" s="94">
        <f t="shared" si="4"/>
        <v>35988.64</v>
      </c>
      <c r="O43" s="94">
        <f t="shared" si="4"/>
        <v>3238.9775999999997</v>
      </c>
      <c r="P43" s="94">
        <f t="shared" si="4"/>
        <v>0</v>
      </c>
      <c r="Q43" s="94">
        <f t="shared" si="4"/>
        <v>3238.9775999999997</v>
      </c>
    </row>
    <row r="44" ht="14.25" thickTop="1"/>
    <row r="45" spans="1:17" s="97" customFormat="1" ht="18" customHeight="1" thickBot="1">
      <c r="A45" s="104" t="s">
        <v>36</v>
      </c>
      <c r="B45" s="105"/>
      <c r="C45" s="96">
        <f>+C14+C18+C28+C35+C43</f>
        <v>228244.8</v>
      </c>
      <c r="D45" s="96">
        <f aca="true" t="shared" si="5" ref="D45:Q45">+D14+D18+D28+D35+D43</f>
        <v>40548.81</v>
      </c>
      <c r="E45" s="96">
        <f t="shared" si="5"/>
        <v>17130.35</v>
      </c>
      <c r="F45" s="96">
        <f t="shared" si="5"/>
        <v>1171.08</v>
      </c>
      <c r="G45" s="96">
        <f t="shared" si="5"/>
        <v>853.8</v>
      </c>
      <c r="H45" s="96">
        <f t="shared" si="5"/>
        <v>42463.08</v>
      </c>
      <c r="I45" s="96">
        <f t="shared" si="5"/>
        <v>14583.740000000002</v>
      </c>
      <c r="J45" s="96">
        <f t="shared" si="5"/>
        <v>0</v>
      </c>
      <c r="K45" s="96">
        <f t="shared" si="5"/>
        <v>5267.700000000001</v>
      </c>
      <c r="L45" s="96">
        <f t="shared" si="5"/>
        <v>0</v>
      </c>
      <c r="M45" s="96">
        <f t="shared" si="5"/>
        <v>350263.36000000004</v>
      </c>
      <c r="N45" s="96">
        <f t="shared" si="5"/>
        <v>302532.58</v>
      </c>
      <c r="O45" s="96">
        <f t="shared" si="5"/>
        <v>27227.9322</v>
      </c>
      <c r="P45" s="96">
        <f t="shared" si="5"/>
        <v>0</v>
      </c>
      <c r="Q45" s="96">
        <f t="shared" si="5"/>
        <v>27227.9322</v>
      </c>
    </row>
    <row r="46" ht="14.25" thickTop="1"/>
  </sheetData>
  <sheetProtection/>
  <mergeCells count="22">
    <mergeCell ref="A4:Q4"/>
    <mergeCell ref="A5:Q5"/>
    <mergeCell ref="A14:B14"/>
    <mergeCell ref="A18:B18"/>
    <mergeCell ref="A28:B28"/>
    <mergeCell ref="A35:B35"/>
    <mergeCell ref="A12:B12"/>
    <mergeCell ref="A43:B43"/>
    <mergeCell ref="A45:B45"/>
    <mergeCell ref="A31:B31"/>
    <mergeCell ref="A37:B37"/>
    <mergeCell ref="A38:B38"/>
    <mergeCell ref="N8:N9"/>
    <mergeCell ref="O8:Q8"/>
    <mergeCell ref="A16:B16"/>
    <mergeCell ref="A20:B20"/>
    <mergeCell ref="A21:B21"/>
    <mergeCell ref="A30:B30"/>
    <mergeCell ref="A8:B9"/>
    <mergeCell ref="C8:L8"/>
    <mergeCell ref="M8:M9"/>
    <mergeCell ref="A11:B1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6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4:S22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57421875" style="9" customWidth="1"/>
    <col min="2" max="2" width="28.57421875" style="9" customWidth="1"/>
    <col min="3" max="16384" width="11.421875" style="9" customWidth="1"/>
  </cols>
  <sheetData>
    <row r="1" ht="12.75"/>
    <row r="2" ht="12.75"/>
    <row r="3" ht="12.75"/>
    <row r="4" spans="1:19" ht="19.5">
      <c r="A4" s="108" t="s">
        <v>28</v>
      </c>
      <c r="B4" s="109"/>
      <c r="C4" s="82" t="s">
        <v>29</v>
      </c>
      <c r="D4" s="82"/>
      <c r="E4" s="83"/>
      <c r="F4" s="83"/>
      <c r="G4" s="83"/>
      <c r="H4" s="83"/>
      <c r="I4" s="83"/>
      <c r="J4" s="83"/>
      <c r="K4" s="83"/>
      <c r="L4" s="83"/>
      <c r="M4" s="83"/>
      <c r="N4" s="83"/>
      <c r="O4" s="80"/>
      <c r="P4" s="80"/>
      <c r="Q4" s="84"/>
      <c r="R4" s="84"/>
      <c r="S4" s="84"/>
    </row>
    <row r="5" spans="1:19" ht="14.25" customHeight="1">
      <c r="A5" s="107" t="s">
        <v>30</v>
      </c>
      <c r="B5" s="107"/>
      <c r="C5" s="107" t="s">
        <v>31</v>
      </c>
      <c r="D5" s="107" t="s">
        <v>32</v>
      </c>
      <c r="E5" s="107" t="s">
        <v>33</v>
      </c>
      <c r="F5" s="107"/>
      <c r="G5" s="107"/>
      <c r="H5" s="107"/>
      <c r="I5" s="107"/>
      <c r="J5" s="107"/>
      <c r="K5" s="107"/>
      <c r="L5" s="107"/>
      <c r="M5" s="107"/>
      <c r="N5" s="107"/>
      <c r="O5" s="107" t="s">
        <v>34</v>
      </c>
      <c r="P5" s="107" t="s">
        <v>34</v>
      </c>
      <c r="Q5" s="107" t="s">
        <v>35</v>
      </c>
      <c r="R5" s="107"/>
      <c r="S5" s="107"/>
    </row>
    <row r="6" spans="1:19" ht="57">
      <c r="A6" s="107"/>
      <c r="B6" s="107"/>
      <c r="C6" s="107"/>
      <c r="D6" s="107"/>
      <c r="E6" s="81" t="s">
        <v>37</v>
      </c>
      <c r="F6" s="81" t="s">
        <v>38</v>
      </c>
      <c r="G6" s="81" t="s">
        <v>39</v>
      </c>
      <c r="H6" s="81" t="s">
        <v>40</v>
      </c>
      <c r="I6" s="81" t="s">
        <v>41</v>
      </c>
      <c r="J6" s="81" t="s">
        <v>42</v>
      </c>
      <c r="K6" s="81" t="s">
        <v>43</v>
      </c>
      <c r="L6" s="81" t="s">
        <v>44</v>
      </c>
      <c r="M6" s="81" t="s">
        <v>45</v>
      </c>
      <c r="N6" s="81" t="s">
        <v>46</v>
      </c>
      <c r="O6" s="107"/>
      <c r="P6" s="107"/>
      <c r="Q6" s="81" t="s">
        <v>47</v>
      </c>
      <c r="R6" s="81" t="s">
        <v>48</v>
      </c>
      <c r="S6" s="81" t="s">
        <v>49</v>
      </c>
    </row>
    <row r="7" ht="3" customHeight="1"/>
    <row r="8" spans="1:19" ht="13.5">
      <c r="A8" s="77">
        <v>1</v>
      </c>
      <c r="B8" s="78" t="s">
        <v>23</v>
      </c>
      <c r="C8" s="79">
        <f>+'ENERO-15'!C1+'FEBRERO-15'!C1+'MARZO-15'!C1+'ABRIL-15'!C1+'MAYO-15'!C1+'JUNIO-15'!C1+'JULIO-15'!C1+'AGOSTO-15'!C1+'SETIEMBRE-15'!C1+'OCTUBRE-15'!C1+'NOVIEMBRE-15'!C1+'DICIEMBRE 2015'!C1</f>
        <v>611</v>
      </c>
      <c r="D8" s="79">
        <f>+'ENERO-15'!D1+'FEBRERO-15'!D1+'MARZO-15'!D1+'ABRIL-15'!D1+'MAYO-15'!D1+'JUNIO-15'!D1+'JULIO-15'!D1+'AGOSTO-15'!D1+'SETIEMBRE-15'!D1+'OCTUBRE-15'!D1+'NOVIEMBRE-15'!D1+'DICIEMBRE 2015'!D1</f>
        <v>40</v>
      </c>
      <c r="E8" s="79">
        <f>+'ENERO-15'!E1+'FEBRERO-15'!E1+'MARZO-15'!E1+'ABRIL-15'!E1+'MAYO-15'!E1+'JUNIO-15'!E1+'JULIO-15'!E1+'AGOSTO-15'!E1+'SETIEMBRE-15'!E1+'OCTUBRE-15'!E1+'NOVIEMBRE-15'!E1+'DICIEMBRE 2015'!E1</f>
        <v>28500</v>
      </c>
      <c r="F8" s="79">
        <f>+'ENERO-15'!F1+'FEBRERO-15'!F1+'MARZO-15'!F1+'ABRIL-15'!F1+'MAYO-15'!F1+'JUNIO-15'!F1+'JULIO-15'!F1+'AGOSTO-15'!F1+'SETIEMBRE-15'!F1+'OCTUBRE-15'!F1+'NOVIEMBRE-15'!F1+'DICIEMBRE 2015'!F1</f>
        <v>0</v>
      </c>
      <c r="G8" s="79">
        <f>+'ENERO-15'!G1+'FEBRERO-15'!G1+'MARZO-15'!G1+'ABRIL-15'!G1+'MAYO-15'!G1+'JUNIO-15'!G1+'JULIO-15'!G1+'AGOSTO-15'!G1+'SETIEMBRE-15'!G1+'OCTUBRE-15'!G1+'NOVIEMBRE-15'!G1+'DICIEMBRE 2015'!G1</f>
        <v>0</v>
      </c>
      <c r="H8" s="79">
        <f>+'ENERO-15'!H1+'FEBRERO-15'!H1+'MARZO-15'!H1+'ABRIL-15'!H1+'MAYO-15'!H1+'JUNIO-15'!H1+'JULIO-15'!H1+'AGOSTO-15'!H1+'SETIEMBRE-15'!H1+'OCTUBRE-15'!H1+'NOVIEMBRE-15'!H1+'DICIEMBRE 2015'!H1</f>
        <v>0</v>
      </c>
      <c r="I8" s="79">
        <f>+'ENERO-15'!I1+'FEBRERO-15'!I1+'MARZO-15'!I1+'ABRIL-15'!I1+'MAYO-15'!I1+'JUNIO-15'!I1+'JULIO-15'!I1+'AGOSTO-15'!I1+'SETIEMBRE-15'!I1+'OCTUBRE-15'!I1+'NOVIEMBRE-15'!I1+'DICIEMBRE 2015'!I1</f>
        <v>0</v>
      </c>
      <c r="J8" s="79">
        <f>+'ENERO-15'!J1+'FEBRERO-15'!J1+'MARZO-15'!J1+'ABRIL-15'!J1+'MAYO-15'!J1+'JUNIO-15'!J1+'JULIO-15'!J1+'AGOSTO-15'!J1+'SETIEMBRE-15'!J1+'OCTUBRE-15'!J1+'NOVIEMBRE-15'!J1+'DICIEMBRE 2015'!J1</f>
        <v>5192.639999999999</v>
      </c>
      <c r="K8" s="79">
        <f>+'ENERO-15'!K1+'FEBRERO-15'!K1+'MARZO-15'!K1+'ABRIL-15'!K1+'MAYO-15'!K1+'JUNIO-15'!K1+'JULIO-15'!K1+'AGOSTO-15'!K1+'SETIEMBRE-15'!K1+'OCTUBRE-15'!K1+'NOVIEMBRE-15'!K1+'DICIEMBRE 2015'!K1</f>
        <v>0</v>
      </c>
      <c r="L8" s="79">
        <f>+'ENERO-15'!L1+'FEBRERO-15'!L1+'MARZO-15'!L1+'ABRIL-15'!L1+'MAYO-15'!L1+'JUNIO-15'!L1+'JULIO-15'!L1+'AGOSTO-15'!L1+'SETIEMBRE-15'!L1+'OCTUBRE-15'!L1+'NOVIEMBRE-15'!L1+'DICIEMBRE 2015'!L1</f>
        <v>0</v>
      </c>
      <c r="M8" s="79">
        <f>+'ENERO-15'!M1+'FEBRERO-15'!M1+'MARZO-15'!M1+'ABRIL-15'!M1+'MAYO-15'!M1+'JUNIO-15'!M1+'JULIO-15'!M1+'AGOSTO-15'!M1+'SETIEMBRE-15'!M1+'OCTUBRE-15'!M1+'NOVIEMBRE-15'!M1+'DICIEMBRE 2015'!M1</f>
        <v>0</v>
      </c>
      <c r="N8" s="79">
        <f>+'ENERO-15'!N1+'FEBRERO-15'!N1+'MARZO-15'!N1+'ABRIL-15'!N1+'MAYO-15'!N1+'JUNIO-15'!N1+'JULIO-15'!N1+'AGOSTO-15'!N1+'SETIEMBRE-15'!N1+'OCTUBRE-15'!N1+'NOVIEMBRE-15'!N1+'DICIEMBRE 2015'!N1</f>
        <v>0</v>
      </c>
      <c r="O8" s="79">
        <f>+'ENERO-15'!O1+'FEBRERO-15'!O1+'MARZO-15'!O1+'ABRIL-15'!O1+'MAYO-15'!O1+'JUNIO-15'!O1+'JULIO-15'!O1+'AGOSTO-15'!O1+'SETIEMBRE-15'!O1+'OCTUBRE-15'!O1+'NOVIEMBRE-15'!O1+'DICIEMBRE 2015'!O1</f>
        <v>33692.64</v>
      </c>
      <c r="P8" s="79">
        <f>+'ENERO-15'!P1+'FEBRERO-15'!P1+'MARZO-15'!P1+'ABRIL-15'!P1+'MAYO-15'!P1+'JUNIO-15'!P1+'JULIO-15'!P1+'AGOSTO-15'!P1+'SETIEMBRE-15'!P1+'OCTUBRE-15'!P1+'NOVIEMBRE-15'!P1+'DICIEMBRE 2015'!P1</f>
        <v>28500</v>
      </c>
      <c r="Q8" s="79">
        <f>+'ENERO-15'!Q1+'FEBRERO-15'!Q1+'MARZO-15'!Q1+'ABRIL-15'!Q1+'MAYO-15'!Q1+'JUNIO-15'!Q1+'JULIO-15'!Q1+'AGOSTO-15'!Q1+'SETIEMBRE-15'!Q1+'OCTUBRE-15'!Q1+'NOVIEMBRE-15'!Q1+'DICIEMBRE 2015'!Q1</f>
        <v>2565</v>
      </c>
      <c r="R8" s="79">
        <f>+'ENERO-15'!R1+'FEBRERO-15'!R1+'MARZO-15'!R1+'ABRIL-15'!R1+'MAYO-15'!R1+'JUNIO-15'!R1+'JULIO-15'!R1+'AGOSTO-15'!R1+'SETIEMBRE-15'!R1+'OCTUBRE-15'!R1+'NOVIEMBRE-15'!R1+'DICIEMBRE 2015'!R1</f>
        <v>0</v>
      </c>
      <c r="S8" s="79">
        <f>+'ENERO-15'!S1+'FEBRERO-15'!S1+'MARZO-15'!S1+'ABRIL-15'!S1+'MAYO-15'!S1+'JUNIO-15'!S1+'JULIO-15'!S1+'AGOSTO-15'!S1+'SETIEMBRE-15'!S1+'OCTUBRE-15'!S1+'NOVIEMBRE-15'!S1+'DICIEMBRE 2015'!S1</f>
        <v>2565</v>
      </c>
    </row>
    <row r="9" spans="1:19" ht="13.5">
      <c r="A9" s="77">
        <v>1</v>
      </c>
      <c r="B9" s="78" t="s">
        <v>1</v>
      </c>
      <c r="C9" s="79">
        <f>+'ENERO-15'!C2+'FEBRERO-15'!C2+'MARZO-15'!C2+'ABRIL-15'!C2+'MAYO-15'!C2+'JUNIO-15'!C2+'JULIO-15'!C2+'AGOSTO-15'!C2+'SETIEMBRE-15'!C2+'OCTUBRE-15'!C2+'NOVIEMBRE-15'!C2+'DICIEMBRE 2015'!C2</f>
        <v>734</v>
      </c>
      <c r="D9" s="79">
        <f>+'ENERO-15'!D2+'FEBRERO-15'!D2+'MARZO-15'!D2+'ABRIL-15'!D2+'MAYO-15'!D2+'JUNIO-15'!D2+'JULIO-15'!D2+'AGOSTO-15'!D2+'SETIEMBRE-15'!D2+'OCTUBRE-15'!D2+'NOVIEMBRE-15'!D2+'DICIEMBRE 2015'!D2</f>
        <v>60</v>
      </c>
      <c r="E9" s="79">
        <f>+'ENERO-15'!E2+'FEBRERO-15'!E2+'MARZO-15'!E2+'ABRIL-15'!E2+'MAYO-15'!E2+'JUNIO-15'!E2+'JULIO-15'!E2+'AGOSTO-15'!E2+'SETIEMBRE-15'!E2+'OCTUBRE-15'!E2+'NOVIEMBRE-15'!E2+'DICIEMBRE 2015'!E2</f>
        <v>21468</v>
      </c>
      <c r="F9" s="79">
        <f>+'ENERO-15'!F2+'FEBRERO-15'!F2+'MARZO-15'!F2+'ABRIL-15'!F2+'MAYO-15'!F2+'JUNIO-15'!F2+'JULIO-15'!F2+'AGOSTO-15'!F2+'SETIEMBRE-15'!F2+'OCTUBRE-15'!F2+'NOVIEMBRE-15'!F2+'DICIEMBRE 2015'!F2</f>
        <v>4246.49</v>
      </c>
      <c r="G9" s="79">
        <f>+'ENERO-15'!G2+'FEBRERO-15'!G2+'MARZO-15'!G2+'ABRIL-15'!G2+'MAYO-15'!G2+'JUNIO-15'!G2+'JULIO-15'!G2+'AGOSTO-15'!G2+'SETIEMBRE-15'!G2+'OCTUBRE-15'!G2+'NOVIEMBRE-15'!G2+'DICIEMBRE 2015'!G2</f>
        <v>3000</v>
      </c>
      <c r="H9" s="79">
        <f>+'ENERO-15'!H2+'FEBRERO-15'!H2+'MARZO-15'!H2+'ABRIL-15'!H2+'MAYO-15'!H2+'JUNIO-15'!H2+'JULIO-15'!H2+'AGOSTO-15'!H2+'SETIEMBRE-15'!H2+'OCTUBRE-15'!H2+'NOVIEMBRE-15'!H2+'DICIEMBRE 2015'!H2</f>
        <v>0</v>
      </c>
      <c r="I9" s="79">
        <f>+'ENERO-15'!I2+'FEBRERO-15'!I2+'MARZO-15'!I2+'ABRIL-15'!I2+'MAYO-15'!I2+'JUNIO-15'!I2+'JULIO-15'!I2+'AGOSTO-15'!I2+'SETIEMBRE-15'!I2+'OCTUBRE-15'!I2+'NOVIEMBRE-15'!I2+'DICIEMBRE 2015'!I2</f>
        <v>201.11999999999998</v>
      </c>
      <c r="J9" s="79">
        <f>+'ENERO-15'!J2+'FEBRERO-15'!J2+'MARZO-15'!J2+'ABRIL-15'!J2+'MAYO-15'!J2+'JUNIO-15'!J2+'JULIO-15'!J2+'AGOSTO-15'!J2+'SETIEMBRE-15'!J2+'OCTUBRE-15'!J2+'NOVIEMBRE-15'!J2+'DICIEMBRE 2015'!J2</f>
        <v>4100.06</v>
      </c>
      <c r="K9" s="79">
        <f>+'ENERO-15'!K2+'FEBRERO-15'!K2+'MARZO-15'!K2+'ABRIL-15'!K2+'MAYO-15'!K2+'JUNIO-15'!K2+'JULIO-15'!K2+'AGOSTO-15'!K2+'SETIEMBRE-15'!K2+'OCTUBRE-15'!K2+'NOVIEMBRE-15'!K2+'DICIEMBRE 2015'!K2</f>
        <v>1880.76</v>
      </c>
      <c r="L9" s="79">
        <f>+'ENERO-15'!L2+'FEBRERO-15'!L2+'MARZO-15'!L2+'ABRIL-15'!L2+'MAYO-15'!L2+'JUNIO-15'!L2+'JULIO-15'!L2+'AGOSTO-15'!L2+'SETIEMBRE-15'!L2+'OCTUBRE-15'!L2+'NOVIEMBRE-15'!L2+'DICIEMBRE 2015'!L2</f>
        <v>0</v>
      </c>
      <c r="M9" s="79">
        <f>+'ENERO-15'!M2+'FEBRERO-15'!M2+'MARZO-15'!M2+'ABRIL-15'!M2+'MAYO-15'!M2+'JUNIO-15'!M2+'JULIO-15'!M2+'AGOSTO-15'!M2+'SETIEMBRE-15'!M2+'OCTUBRE-15'!M2+'NOVIEMBRE-15'!M2+'DICIEMBRE 2015'!M2</f>
        <v>333.5</v>
      </c>
      <c r="N9" s="79">
        <f>+'ENERO-15'!N2+'FEBRERO-15'!N2+'MARZO-15'!N2+'ABRIL-15'!N2+'MAYO-15'!N2+'JUNIO-15'!N2+'JULIO-15'!N2+'AGOSTO-15'!N2+'SETIEMBRE-15'!N2+'OCTUBRE-15'!N2+'NOVIEMBRE-15'!N2+'DICIEMBRE 2015'!N2</f>
        <v>0</v>
      </c>
      <c r="O9" s="79">
        <f>+'ENERO-15'!O2+'FEBRERO-15'!O2+'MARZO-15'!O2+'ABRIL-15'!O2+'MAYO-15'!O2+'JUNIO-15'!O2+'JULIO-15'!O2+'AGOSTO-15'!O2+'SETIEMBRE-15'!O2+'OCTUBRE-15'!O2+'NOVIEMBRE-15'!O2+'DICIEMBRE 2015'!O2</f>
        <v>35229.93000000001</v>
      </c>
      <c r="P9" s="79">
        <f>+'ENERO-15'!P2+'FEBRERO-15'!P2+'MARZO-15'!P2+'ABRIL-15'!P2+'MAYO-15'!P2+'JUNIO-15'!P2+'JULIO-15'!P2+'AGOSTO-15'!P2+'SETIEMBRE-15'!P2+'OCTUBRE-15'!P2+'NOVIEMBRE-15'!P2+'DICIEMBRE 2015'!P2</f>
        <v>30796.370000000006</v>
      </c>
      <c r="Q9" s="79">
        <f>+'ENERO-15'!Q2+'FEBRERO-15'!Q2+'MARZO-15'!Q2+'ABRIL-15'!Q2+'MAYO-15'!Q2+'JUNIO-15'!Q2+'JULIO-15'!Q2+'AGOSTO-15'!Q2+'SETIEMBRE-15'!Q2+'OCTUBRE-15'!Q2+'NOVIEMBRE-15'!Q2+'DICIEMBRE 2015'!Q2</f>
        <v>2771.673300000001</v>
      </c>
      <c r="R9" s="79">
        <f>+'ENERO-15'!R2+'FEBRERO-15'!R2+'MARZO-15'!R2+'ABRIL-15'!R2+'MAYO-15'!R2+'JUNIO-15'!R2+'JULIO-15'!R2+'AGOSTO-15'!R2+'SETIEMBRE-15'!R2+'OCTUBRE-15'!R2+'NOVIEMBRE-15'!R2+'DICIEMBRE 2015'!R2</f>
        <v>0</v>
      </c>
      <c r="S9" s="79">
        <f>+'ENERO-15'!S2+'FEBRERO-15'!S2+'MARZO-15'!S2+'ABRIL-15'!S2+'MAYO-15'!S2+'JUNIO-15'!S2+'JULIO-15'!S2+'AGOSTO-15'!S2+'SETIEMBRE-15'!S2+'OCTUBRE-15'!S2+'NOVIEMBRE-15'!S2+'DICIEMBRE 2015'!S2</f>
        <v>2771.673300000001</v>
      </c>
    </row>
    <row r="10" spans="1:19" ht="13.5">
      <c r="A10" s="77">
        <v>1</v>
      </c>
      <c r="B10" s="78" t="s">
        <v>4</v>
      </c>
      <c r="C10" s="79">
        <f>+'ENERO-15'!C3+'FEBRERO-15'!C3+'MARZO-15'!C3+'ABRIL-15'!C3+'MAYO-15'!C3+'JUNIO-15'!C3+'JULIO-15'!C3+'AGOSTO-15'!C3+'SETIEMBRE-15'!C3+'OCTUBRE-15'!C3+'NOVIEMBRE-15'!C3+'DICIEMBRE 2015'!C3</f>
        <v>375</v>
      </c>
      <c r="D10" s="79">
        <f>+'ENERO-15'!D3+'FEBRERO-15'!D3+'MARZO-15'!D3+'ABRIL-15'!D3+'MAYO-15'!D3+'JUNIO-15'!D3+'JULIO-15'!D3+'AGOSTO-15'!D3+'SETIEMBRE-15'!D3+'OCTUBRE-15'!D3+'NOVIEMBRE-15'!D3+'DICIEMBRE 2015'!D3</f>
        <v>0</v>
      </c>
      <c r="E10" s="79">
        <f>+'ENERO-15'!E3+'FEBRERO-15'!E3+'MARZO-15'!E3+'ABRIL-15'!E3+'MAYO-15'!E3+'JUNIO-15'!E3+'JULIO-15'!E3+'AGOSTO-15'!E3+'SETIEMBRE-15'!E3+'OCTUBRE-15'!E3+'NOVIEMBRE-15'!E3+'DICIEMBRE 2015'!E3</f>
        <v>19992</v>
      </c>
      <c r="F10" s="79">
        <f>+'ENERO-15'!F3+'FEBRERO-15'!F3+'MARZO-15'!F3+'ABRIL-15'!F3+'MAYO-15'!F3+'JUNIO-15'!F3+'JULIO-15'!F3+'AGOSTO-15'!F3+'SETIEMBRE-15'!F3+'OCTUBRE-15'!F3+'NOVIEMBRE-15'!F3+'DICIEMBRE 2015'!F3</f>
        <v>1884</v>
      </c>
      <c r="G10" s="79">
        <f>+'ENERO-15'!G3+'FEBRERO-15'!G3+'MARZO-15'!G3+'ABRIL-15'!G3+'MAYO-15'!G3+'JUNIO-15'!G3+'JULIO-15'!G3+'AGOSTO-15'!G3+'SETIEMBRE-15'!G3+'OCTUBRE-15'!G3+'NOVIEMBRE-15'!G3+'DICIEMBRE 2015'!G3</f>
        <v>2580.85</v>
      </c>
      <c r="H10" s="79">
        <f>+'ENERO-15'!H3+'FEBRERO-15'!H3+'MARZO-15'!H3+'ABRIL-15'!H3+'MAYO-15'!H3+'JUNIO-15'!H3+'JULIO-15'!H3+'AGOSTO-15'!H3+'SETIEMBRE-15'!H3+'OCTUBRE-15'!H3+'NOVIEMBRE-15'!H3+'DICIEMBRE 2015'!H3</f>
        <v>0</v>
      </c>
      <c r="I10" s="79">
        <f>+'ENERO-15'!I3+'FEBRERO-15'!I3+'MARZO-15'!I3+'ABRIL-15'!I3+'MAYO-15'!I3+'JUNIO-15'!I3+'JULIO-15'!I3+'AGOSTO-15'!I3+'SETIEMBRE-15'!I3+'OCTUBRE-15'!I3+'NOVIEMBRE-15'!I3+'DICIEMBRE 2015'!I3</f>
        <v>0</v>
      </c>
      <c r="J10" s="79">
        <f>+'ENERO-15'!J3+'FEBRERO-15'!J3+'MARZO-15'!J3+'ABRIL-15'!J3+'MAYO-15'!J3+'JUNIO-15'!J3+'JULIO-15'!J3+'AGOSTO-15'!J3+'SETIEMBRE-15'!J3+'OCTUBRE-15'!J3+'NOVIEMBRE-15'!J3+'DICIEMBRE 2015'!J3</f>
        <v>3631.88</v>
      </c>
      <c r="K10" s="79">
        <f>+'ENERO-15'!K3+'FEBRERO-15'!K3+'MARZO-15'!K3+'ABRIL-15'!K3+'MAYO-15'!K3+'JUNIO-15'!K3+'JULIO-15'!K3+'AGOSTO-15'!K3+'SETIEMBRE-15'!K3+'OCTUBRE-15'!K3+'NOVIEMBRE-15'!K3+'DICIEMBRE 2015'!K3</f>
        <v>1666</v>
      </c>
      <c r="L10" s="79">
        <f>+'ENERO-15'!L3+'FEBRERO-15'!L3+'MARZO-15'!L3+'ABRIL-15'!L3+'MAYO-15'!L3+'JUNIO-15'!L3+'JULIO-15'!L3+'AGOSTO-15'!L3+'SETIEMBRE-15'!L3+'OCTUBRE-15'!L3+'NOVIEMBRE-15'!L3+'DICIEMBRE 2015'!L3</f>
        <v>0</v>
      </c>
      <c r="M10" s="79">
        <f>+'ENERO-15'!M3+'FEBRERO-15'!M3+'MARZO-15'!M3+'ABRIL-15'!M3+'MAYO-15'!M3+'JUNIO-15'!M3+'JULIO-15'!M3+'AGOSTO-15'!M3+'SETIEMBRE-15'!M3+'OCTUBRE-15'!M3+'NOVIEMBRE-15'!M3+'DICIEMBRE 2015'!M3</f>
        <v>1053.3999999999999</v>
      </c>
      <c r="N10" s="79">
        <f>+'ENERO-15'!N3+'FEBRERO-15'!N3+'MARZO-15'!N3+'ABRIL-15'!N3+'MAYO-15'!N3+'JUNIO-15'!N3+'JULIO-15'!N3+'AGOSTO-15'!N3+'SETIEMBRE-15'!N3+'OCTUBRE-15'!N3+'NOVIEMBRE-15'!N3+'DICIEMBRE 2015'!N3</f>
        <v>0</v>
      </c>
      <c r="O10" s="79">
        <f>+'ENERO-15'!O3+'FEBRERO-15'!O3+'MARZO-15'!O3+'ABRIL-15'!O3+'MAYO-15'!O3+'JUNIO-15'!O3+'JULIO-15'!O3+'AGOSTO-15'!O3+'SETIEMBRE-15'!O3+'OCTUBRE-15'!O3+'NOVIEMBRE-15'!O3+'DICIEMBRE 2015'!O3</f>
        <v>30808.13</v>
      </c>
      <c r="P10" s="79">
        <f>+'ENERO-15'!P3+'FEBRERO-15'!P3+'MARZO-15'!P3+'ABRIL-15'!P3+'MAYO-15'!P3+'JUNIO-15'!P3+'JULIO-15'!P3+'AGOSTO-15'!P3+'SETIEMBRE-15'!P3+'OCTUBRE-15'!P3+'NOVIEMBRE-15'!P3+'DICIEMBRE 2015'!P3</f>
        <v>26122.85</v>
      </c>
      <c r="Q10" s="79">
        <f>+'ENERO-15'!Q3+'FEBRERO-15'!Q3+'MARZO-15'!Q3+'ABRIL-15'!Q3+'MAYO-15'!Q3+'JUNIO-15'!Q3+'JULIO-15'!Q3+'AGOSTO-15'!Q3+'SETIEMBRE-15'!Q3+'OCTUBRE-15'!Q3+'NOVIEMBRE-15'!Q3+'DICIEMBRE 2015'!Q3</f>
        <v>2351.0564999999997</v>
      </c>
      <c r="R10" s="79">
        <f>+'ENERO-15'!R3+'FEBRERO-15'!R3+'MARZO-15'!R3+'ABRIL-15'!R3+'MAYO-15'!R3+'JUNIO-15'!R3+'JULIO-15'!R3+'AGOSTO-15'!R3+'SETIEMBRE-15'!R3+'OCTUBRE-15'!R3+'NOVIEMBRE-15'!R3+'DICIEMBRE 2015'!R3</f>
        <v>0</v>
      </c>
      <c r="S10" s="79">
        <f>+'ENERO-15'!S3+'FEBRERO-15'!S3+'MARZO-15'!S3+'ABRIL-15'!S3+'MAYO-15'!S3+'JUNIO-15'!S3+'JULIO-15'!S3+'AGOSTO-15'!S3+'SETIEMBRE-15'!S3+'OCTUBRE-15'!S3+'NOVIEMBRE-15'!S3+'DICIEMBRE 2015'!S3</f>
        <v>2351.0564999999997</v>
      </c>
    </row>
    <row r="11" spans="1:19" ht="13.5">
      <c r="A11" s="77">
        <v>1</v>
      </c>
      <c r="B11" s="78" t="s">
        <v>18</v>
      </c>
      <c r="C11" s="79">
        <f>+'ENERO-15'!C4+'FEBRERO-15'!C4+'MARZO-15'!C4+'ABRIL-15'!C4+'MAYO-15'!C4+'JUNIO-15'!C4+'JULIO-15'!C4+'AGOSTO-15'!C4+'SETIEMBRE-15'!C4+'OCTUBRE-15'!C4+'NOVIEMBRE-15'!C4+'DICIEMBRE 2015'!C4</f>
        <v>401</v>
      </c>
      <c r="D11" s="79">
        <f>+'ENERO-15'!D4+'FEBRERO-15'!D4+'MARZO-15'!D4+'ABRIL-15'!D4+'MAYO-15'!D4+'JUNIO-15'!D4+'JULIO-15'!D4+'AGOSTO-15'!D4+'SETIEMBRE-15'!D4+'OCTUBRE-15'!D4+'NOVIEMBRE-15'!D4+'DICIEMBRE 2015'!D4</f>
        <v>60</v>
      </c>
      <c r="E11" s="79">
        <f>+'ENERO-15'!E4+'FEBRERO-15'!E4+'MARZO-15'!E4+'ABRIL-15'!E4+'MAYO-15'!E4+'JUNIO-15'!E4+'JULIO-15'!E4+'AGOSTO-15'!E4+'SETIEMBRE-15'!E4+'OCTUBRE-15'!E4+'NOVIEMBRE-15'!E4+'DICIEMBRE 2015'!E4</f>
        <v>21384</v>
      </c>
      <c r="F11" s="79">
        <f>+'ENERO-15'!F4+'FEBRERO-15'!F4+'MARZO-15'!F4+'ABRIL-15'!F4+'MAYO-15'!F4+'JUNIO-15'!F4+'JULIO-15'!F4+'AGOSTO-15'!F4+'SETIEMBRE-15'!F4+'OCTUBRE-15'!F4+'NOVIEMBRE-15'!F4+'DICIEMBRE 2015'!F4</f>
        <v>1899</v>
      </c>
      <c r="G11" s="79">
        <f>+'ENERO-15'!G4+'FEBRERO-15'!G4+'MARZO-15'!G4+'ABRIL-15'!G4+'MAYO-15'!G4+'JUNIO-15'!G4+'JULIO-15'!G4+'AGOSTO-15'!G4+'SETIEMBRE-15'!G4+'OCTUBRE-15'!G4+'NOVIEMBRE-15'!G4+'DICIEMBRE 2015'!G4</f>
        <v>3000</v>
      </c>
      <c r="H11" s="79">
        <f>+'ENERO-15'!H4+'FEBRERO-15'!H4+'MARZO-15'!H4+'ABRIL-15'!H4+'MAYO-15'!H4+'JUNIO-15'!H4+'JULIO-15'!H4+'AGOSTO-15'!H4+'SETIEMBRE-15'!H4+'OCTUBRE-15'!H4+'NOVIEMBRE-15'!H4+'DICIEMBRE 2015'!H4</f>
        <v>0</v>
      </c>
      <c r="I11" s="79">
        <f>+'ENERO-15'!I4+'FEBRERO-15'!I4+'MARZO-15'!I4+'ABRIL-15'!I4+'MAYO-15'!I4+'JUNIO-15'!I4+'JULIO-15'!I4+'AGOSTO-15'!I4+'SETIEMBRE-15'!I4+'OCTUBRE-15'!I4+'NOVIEMBRE-15'!I4+'DICIEMBRE 2015'!I4</f>
        <v>274.08</v>
      </c>
      <c r="J11" s="79">
        <f>+'ENERO-15'!J4+'FEBRERO-15'!J4+'MARZO-15'!J4+'ABRIL-15'!J4+'MAYO-15'!J4+'JUNIO-15'!J4+'JULIO-15'!J4+'AGOSTO-15'!J4+'SETIEMBRE-15'!J4+'OCTUBRE-15'!J4+'NOVIEMBRE-15'!J4+'DICIEMBRE 2015'!J4</f>
        <v>3934.56</v>
      </c>
      <c r="K11" s="79">
        <f>+'ENERO-15'!K4+'FEBRERO-15'!K4+'MARZO-15'!K4+'ABRIL-15'!K4+'MAYO-15'!K4+'JUNIO-15'!K4+'JULIO-15'!K4+'AGOSTO-15'!K4+'SETIEMBRE-15'!K4+'OCTUBRE-15'!K4+'NOVIEMBRE-15'!K4+'DICIEMBRE 2015'!K4</f>
        <v>1804.84</v>
      </c>
      <c r="L11" s="79">
        <f>+'ENERO-15'!L4+'FEBRERO-15'!L4+'MARZO-15'!L4+'ABRIL-15'!L4+'MAYO-15'!L4+'JUNIO-15'!L4+'JULIO-15'!L4+'AGOSTO-15'!L4+'SETIEMBRE-15'!L4+'OCTUBRE-15'!L4+'NOVIEMBRE-15'!L4+'DICIEMBRE 2015'!L4</f>
        <v>0</v>
      </c>
      <c r="M11" s="79">
        <f>+'ENERO-15'!M4+'FEBRERO-15'!M4+'MARZO-15'!M4+'ABRIL-15'!M4+'MAYO-15'!M4+'JUNIO-15'!M4+'JULIO-15'!M4+'AGOSTO-15'!M4+'SETIEMBRE-15'!M4+'OCTUBRE-15'!M4+'NOVIEMBRE-15'!M4+'DICIEMBRE 2015'!M4</f>
        <v>99.2</v>
      </c>
      <c r="N11" s="79">
        <f>+'ENERO-15'!N4+'FEBRERO-15'!N4+'MARZO-15'!N4+'ABRIL-15'!N4+'MAYO-15'!N4+'JUNIO-15'!N4+'JULIO-15'!N4+'AGOSTO-15'!N4+'SETIEMBRE-15'!N4+'OCTUBRE-15'!N4+'NOVIEMBRE-15'!N4+'DICIEMBRE 2015'!N4</f>
        <v>0</v>
      </c>
      <c r="O11" s="79">
        <f>+'ENERO-15'!O4+'FEBRERO-15'!O4+'MARZO-15'!O4+'ABRIL-15'!O4+'MAYO-15'!O4+'JUNIO-15'!O4+'JULIO-15'!O4+'AGOSTO-15'!O4+'SETIEMBRE-15'!O4+'OCTUBRE-15'!O4+'NOVIEMBRE-15'!O4+'DICIEMBRE 2015'!O4</f>
        <v>32395.68</v>
      </c>
      <c r="P11" s="79">
        <f>+'ENERO-15'!P4+'FEBRERO-15'!P4+'MARZO-15'!P4+'ABRIL-15'!P4+'MAYO-15'!P4+'JUNIO-15'!P4+'JULIO-15'!P4+'AGOSTO-15'!P4+'SETIEMBRE-15'!P4+'OCTUBRE-15'!P4+'NOVIEMBRE-15'!P4+'DICIEMBRE 2015'!P4</f>
        <v>28361.920000000002</v>
      </c>
      <c r="Q11" s="79">
        <f>+'ENERO-15'!Q4+'FEBRERO-15'!Q4+'MARZO-15'!Q4+'ABRIL-15'!Q4+'MAYO-15'!Q4+'JUNIO-15'!Q4+'JULIO-15'!Q4+'AGOSTO-15'!Q4+'SETIEMBRE-15'!Q4+'OCTUBRE-15'!Q4+'NOVIEMBRE-15'!Q4+'DICIEMBRE 2015'!Q4</f>
        <v>2552.5728</v>
      </c>
      <c r="R11" s="79">
        <f>+'ENERO-15'!R4+'FEBRERO-15'!R4+'MARZO-15'!R4+'ABRIL-15'!R4+'MAYO-15'!R4+'JUNIO-15'!R4+'JULIO-15'!R4+'AGOSTO-15'!R4+'SETIEMBRE-15'!R4+'OCTUBRE-15'!R4+'NOVIEMBRE-15'!R4+'DICIEMBRE 2015'!R4</f>
        <v>0</v>
      </c>
      <c r="S11" s="79">
        <f>+'ENERO-15'!S4+'FEBRERO-15'!S4+'MARZO-15'!S4+'ABRIL-15'!S4+'MAYO-15'!S4+'JUNIO-15'!S4+'JULIO-15'!S4+'AGOSTO-15'!S4+'SETIEMBRE-15'!S4+'OCTUBRE-15'!S4+'NOVIEMBRE-15'!S4+'DICIEMBRE 2015'!S4</f>
        <v>2552.5728</v>
      </c>
    </row>
    <row r="12" spans="1:19" ht="13.5">
      <c r="A12" s="77">
        <v>2</v>
      </c>
      <c r="B12" s="78" t="s">
        <v>5</v>
      </c>
      <c r="C12" s="79">
        <f>+'ENERO-15'!C5+'FEBRERO-15'!C5+'MARZO-15'!C5+'ABRIL-15'!C5+'MAYO-15'!C5+'JUNIO-15'!C5+'JULIO-15'!C5+'AGOSTO-15'!C5+'SETIEMBRE-15'!C5+'OCTUBRE-15'!C5+'NOVIEMBRE-15'!C5+'DICIEMBRE 2015'!C5</f>
        <v>344</v>
      </c>
      <c r="D12" s="79">
        <f>+'ENERO-15'!D5+'FEBRERO-15'!D5+'MARZO-15'!D5+'ABRIL-15'!D5+'MAYO-15'!D5+'JUNIO-15'!D5+'JULIO-15'!D5+'AGOSTO-15'!D5+'SETIEMBRE-15'!D5+'OCTUBRE-15'!D5+'NOVIEMBRE-15'!D5+'DICIEMBRE 2015'!D5</f>
        <v>0</v>
      </c>
      <c r="E12" s="79">
        <f>+'ENERO-15'!E5+'FEBRERO-15'!E5+'MARZO-15'!E5+'ABRIL-15'!E5+'MAYO-15'!E5+'JUNIO-15'!E5+'JULIO-15'!E5+'AGOSTO-15'!E5+'SETIEMBRE-15'!E5+'OCTUBRE-15'!E5+'NOVIEMBRE-15'!E5+'DICIEMBRE 2015'!E5</f>
        <v>19992</v>
      </c>
      <c r="F12" s="79">
        <f>+'ENERO-15'!F5+'FEBRERO-15'!F5+'MARZO-15'!F5+'ABRIL-15'!F5+'MAYO-15'!F5+'JUNIO-15'!F5+'JULIO-15'!F5+'AGOSTO-15'!F5+'SETIEMBRE-15'!F5+'OCTUBRE-15'!F5+'NOVIEMBRE-15'!F5+'DICIEMBRE 2015'!F5</f>
        <v>3173.2000000000003</v>
      </c>
      <c r="G12" s="79">
        <f>+'ENERO-15'!G5+'FEBRERO-15'!G5+'MARZO-15'!G5+'ABRIL-15'!G5+'MAYO-15'!G5+'JUNIO-15'!G5+'JULIO-15'!G5+'AGOSTO-15'!G5+'SETIEMBRE-15'!G5+'OCTUBRE-15'!G5+'NOVIEMBRE-15'!G5+'DICIEMBRE 2015'!G5</f>
        <v>1640.25</v>
      </c>
      <c r="H12" s="79">
        <f>+'ENERO-15'!H5+'FEBRERO-15'!H5+'MARZO-15'!H5+'ABRIL-15'!H5+'MAYO-15'!H5+'JUNIO-15'!H5+'JULIO-15'!H5+'AGOSTO-15'!H5+'SETIEMBRE-15'!H5+'OCTUBRE-15'!H5+'NOVIEMBRE-15'!H5+'DICIEMBRE 2015'!H5</f>
        <v>0</v>
      </c>
      <c r="I12" s="79">
        <f>+'ENERO-15'!I5+'FEBRERO-15'!I5+'MARZO-15'!I5+'ABRIL-15'!I5+'MAYO-15'!I5+'JUNIO-15'!I5+'JULIO-15'!I5+'AGOSTO-15'!I5+'SETIEMBRE-15'!I5+'OCTUBRE-15'!I5+'NOVIEMBRE-15'!I5+'DICIEMBRE 2015'!I5</f>
        <v>0</v>
      </c>
      <c r="J12" s="79">
        <f>+'ENERO-15'!J5+'FEBRERO-15'!J5+'MARZO-15'!J5+'ABRIL-15'!J5+'MAYO-15'!J5+'JUNIO-15'!J5+'JULIO-15'!J5+'AGOSTO-15'!J5+'SETIEMBRE-15'!J5+'OCTUBRE-15'!J5+'NOVIEMBRE-15'!J5+'DICIEMBRE 2015'!J5</f>
        <v>3795.38</v>
      </c>
      <c r="K12" s="79">
        <f>+'ENERO-15'!K5+'FEBRERO-15'!K5+'MARZO-15'!K5+'ABRIL-15'!K5+'MAYO-15'!K5+'JUNIO-15'!K5+'JULIO-15'!K5+'AGOSTO-15'!K5+'SETIEMBRE-15'!K5+'OCTUBRE-15'!K5+'NOVIEMBRE-15'!K5+'DICIEMBRE 2015'!K5</f>
        <v>1666</v>
      </c>
      <c r="L12" s="79">
        <f>+'ENERO-15'!L5+'FEBRERO-15'!L5+'MARZO-15'!L5+'ABRIL-15'!L5+'MAYO-15'!L5+'JUNIO-15'!L5+'JULIO-15'!L5+'AGOSTO-15'!L5+'SETIEMBRE-15'!L5+'OCTUBRE-15'!L5+'NOVIEMBRE-15'!L5+'DICIEMBRE 2015'!L5</f>
        <v>0</v>
      </c>
      <c r="M12" s="79">
        <f>+'ENERO-15'!M5+'FEBRERO-15'!M5+'MARZO-15'!M5+'ABRIL-15'!M5+'MAYO-15'!M5+'JUNIO-15'!M5+'JULIO-15'!M5+'AGOSTO-15'!M5+'SETIEMBRE-15'!M5+'OCTUBRE-15'!M5+'NOVIEMBRE-15'!M5+'DICIEMBRE 2015'!M5</f>
        <v>80.5</v>
      </c>
      <c r="N12" s="79">
        <f>+'ENERO-15'!N5+'FEBRERO-15'!N5+'MARZO-15'!N5+'ABRIL-15'!N5+'MAYO-15'!N5+'JUNIO-15'!N5+'JULIO-15'!N5+'AGOSTO-15'!N5+'SETIEMBRE-15'!N5+'OCTUBRE-15'!N5+'NOVIEMBRE-15'!N5+'DICIEMBRE 2015'!N5</f>
        <v>0</v>
      </c>
      <c r="O12" s="79">
        <f>+'ENERO-15'!O5+'FEBRERO-15'!O5+'MARZO-15'!O5+'ABRIL-15'!O5+'MAYO-15'!O5+'JUNIO-15'!O5+'JULIO-15'!O5+'AGOSTO-15'!O5+'SETIEMBRE-15'!O5+'OCTUBRE-15'!O5+'NOVIEMBRE-15'!O5+'DICIEMBRE 2015'!O5</f>
        <v>30347.329999999998</v>
      </c>
      <c r="P12" s="79">
        <f>+'ENERO-15'!P5+'FEBRERO-15'!P5+'MARZO-15'!P5+'ABRIL-15'!P5+'MAYO-15'!P5+'JUNIO-15'!P5+'JULIO-15'!P5+'AGOSTO-15'!P5+'SETIEMBRE-15'!P5+'OCTUBRE-15'!P5+'NOVIEMBRE-15'!P5+'DICIEMBRE 2015'!P5</f>
        <v>26471.45</v>
      </c>
      <c r="Q12" s="79">
        <f>+'ENERO-15'!Q5+'FEBRERO-15'!Q5+'MARZO-15'!Q5+'ABRIL-15'!Q5+'MAYO-15'!Q5+'JUNIO-15'!Q5+'JULIO-15'!Q5+'AGOSTO-15'!Q5+'SETIEMBRE-15'!Q5+'OCTUBRE-15'!Q5+'NOVIEMBRE-15'!Q5+'DICIEMBRE 2015'!Q5</f>
        <v>2382.4305</v>
      </c>
      <c r="R12" s="79">
        <f>+'ENERO-15'!R5+'FEBRERO-15'!R5+'MARZO-15'!R5+'ABRIL-15'!R5+'MAYO-15'!R5+'JUNIO-15'!R5+'JULIO-15'!R5+'AGOSTO-15'!R5+'SETIEMBRE-15'!R5+'OCTUBRE-15'!R5+'NOVIEMBRE-15'!R5+'DICIEMBRE 2015'!R5</f>
        <v>0</v>
      </c>
      <c r="S12" s="79">
        <f>+'ENERO-15'!S5+'FEBRERO-15'!S5+'MARZO-15'!S5+'ABRIL-15'!S5+'MAYO-15'!S5+'JUNIO-15'!S5+'JULIO-15'!S5+'AGOSTO-15'!S5+'SETIEMBRE-15'!S5+'OCTUBRE-15'!S5+'NOVIEMBRE-15'!S5+'DICIEMBRE 2015'!S5</f>
        <v>2382.4305</v>
      </c>
    </row>
    <row r="13" spans="1:19" ht="13.5">
      <c r="A13" s="77">
        <v>2</v>
      </c>
      <c r="B13" s="78" t="s">
        <v>0</v>
      </c>
      <c r="C13" s="79">
        <f>+'ENERO-15'!C6+'FEBRERO-15'!C6+'MARZO-15'!C6+'ABRIL-15'!C6+'MAYO-15'!C6+'JUNIO-15'!C6+'JULIO-15'!C6+'AGOSTO-15'!C6+'SETIEMBRE-15'!C6+'OCTUBRE-15'!C6+'NOVIEMBRE-15'!C6+'DICIEMBRE 2015'!C6</f>
        <v>799</v>
      </c>
      <c r="D13" s="79">
        <f>+'ENERO-15'!D6+'FEBRERO-15'!D6+'MARZO-15'!D6+'ABRIL-15'!D6+'MAYO-15'!D6+'JUNIO-15'!D6+'JULIO-15'!D6+'AGOSTO-15'!D6+'SETIEMBRE-15'!D6+'OCTUBRE-15'!D6+'NOVIEMBRE-15'!D6+'DICIEMBRE 2015'!D6</f>
        <v>60</v>
      </c>
      <c r="E13" s="79">
        <f>+'ENERO-15'!E6+'FEBRERO-15'!E6+'MARZO-15'!E6+'ABRIL-15'!E6+'MAYO-15'!E6+'JUNIO-15'!E6+'JULIO-15'!E6+'AGOSTO-15'!E6+'SETIEMBRE-15'!E6+'OCTUBRE-15'!E6+'NOVIEMBRE-15'!E6+'DICIEMBRE 2015'!E6</f>
        <v>20976</v>
      </c>
      <c r="F13" s="79">
        <f>+'ENERO-15'!F6+'FEBRERO-15'!F6+'MARZO-15'!F6+'ABRIL-15'!F6+'MAYO-15'!F6+'JUNIO-15'!F6+'JULIO-15'!F6+'AGOSTO-15'!F6+'SETIEMBRE-15'!F6+'OCTUBRE-15'!F6+'NOVIEMBRE-15'!F6+'DICIEMBRE 2015'!F6</f>
        <v>6707.170000000001</v>
      </c>
      <c r="G13" s="79">
        <f>+'ENERO-15'!G6+'FEBRERO-15'!G6+'MARZO-15'!G6+'ABRIL-15'!G6+'MAYO-15'!G6+'JUNIO-15'!G6+'JULIO-15'!G6+'AGOSTO-15'!G6+'SETIEMBRE-15'!G6+'OCTUBRE-15'!G6+'NOVIEMBRE-15'!G6+'DICIEMBRE 2015'!G6</f>
        <v>3000</v>
      </c>
      <c r="H13" s="79">
        <f>+'ENERO-15'!H6+'FEBRERO-15'!H6+'MARZO-15'!H6+'ABRIL-15'!H6+'MAYO-15'!H6+'JUNIO-15'!H6+'JULIO-15'!H6+'AGOSTO-15'!H6+'SETIEMBRE-15'!H6+'OCTUBRE-15'!H6+'NOVIEMBRE-15'!H6+'DICIEMBRE 2015'!H6</f>
        <v>567.12</v>
      </c>
      <c r="I13" s="79">
        <f>+'ENERO-15'!I6+'FEBRERO-15'!I6+'MARZO-15'!I6+'ABRIL-15'!I6+'MAYO-15'!I6+'JUNIO-15'!I6+'JULIO-15'!I6+'AGOSTO-15'!I6+'SETIEMBRE-15'!I6+'OCTUBRE-15'!I6+'NOVIEMBRE-15'!I6+'DICIEMBRE 2015'!I6</f>
        <v>183.35999999999999</v>
      </c>
      <c r="J13" s="79">
        <f>+'ENERO-15'!J6+'FEBRERO-15'!J6+'MARZO-15'!J6+'ABRIL-15'!J6+'MAYO-15'!J6+'JUNIO-15'!J6+'JULIO-15'!J6+'AGOSTO-15'!J6+'SETIEMBRE-15'!J6+'OCTUBRE-15'!J6+'NOVIEMBRE-15'!J6+'DICIEMBRE 2015'!J6</f>
        <v>4270.33</v>
      </c>
      <c r="K13" s="79">
        <f>+'ENERO-15'!K6+'FEBRERO-15'!K6+'MARZO-15'!K6+'ABRIL-15'!K6+'MAYO-15'!K6+'JUNIO-15'!K6+'JULIO-15'!K6+'AGOSTO-15'!K6+'SETIEMBRE-15'!K6+'OCTUBRE-15'!K6+'NOVIEMBRE-15'!K6+'DICIEMBRE 2015'!K6</f>
        <v>1885.54</v>
      </c>
      <c r="L13" s="79">
        <f>+'ENERO-15'!L6+'FEBRERO-15'!L6+'MARZO-15'!L6+'ABRIL-15'!L6+'MAYO-15'!L6+'JUNIO-15'!L6+'JULIO-15'!L6+'AGOSTO-15'!L6+'SETIEMBRE-15'!L6+'OCTUBRE-15'!L6+'NOVIEMBRE-15'!L6+'DICIEMBRE 2015'!L6</f>
        <v>0</v>
      </c>
      <c r="M13" s="79">
        <f>+'ENERO-15'!M6+'FEBRERO-15'!M6+'MARZO-15'!M6+'ABRIL-15'!M6+'MAYO-15'!M6+'JUNIO-15'!M6+'JULIO-15'!M6+'AGOSTO-15'!M6+'SETIEMBRE-15'!M6+'OCTUBRE-15'!M6+'NOVIEMBRE-15'!M6+'DICIEMBRE 2015'!M6</f>
        <v>908.5</v>
      </c>
      <c r="N13" s="79">
        <f>+'ENERO-15'!N6+'FEBRERO-15'!N6+'MARZO-15'!N6+'ABRIL-15'!N6+'MAYO-15'!N6+'JUNIO-15'!N6+'JULIO-15'!N6+'AGOSTO-15'!N6+'SETIEMBRE-15'!N6+'OCTUBRE-15'!N6+'NOVIEMBRE-15'!N6+'DICIEMBRE 2015'!N6</f>
        <v>0</v>
      </c>
      <c r="O13" s="79">
        <f>+'ENERO-15'!O6+'FEBRERO-15'!O6+'MARZO-15'!O6+'ABRIL-15'!O6+'MAYO-15'!O6+'JUNIO-15'!O6+'JULIO-15'!O6+'AGOSTO-15'!O6+'SETIEMBRE-15'!O6+'OCTUBRE-15'!O6+'NOVIEMBRE-15'!O6+'DICIEMBRE 2015'!O6</f>
        <v>38498.020000000004</v>
      </c>
      <c r="P13" s="79">
        <f>+'ENERO-15'!P6+'FEBRERO-15'!P6+'MARZO-15'!P6+'ABRIL-15'!P6+'MAYO-15'!P6+'JUNIO-15'!P6+'JULIO-15'!P6+'AGOSTO-15'!P6+'SETIEMBRE-15'!P6+'OCTUBRE-15'!P6+'NOVIEMBRE-15'!P6+'DICIEMBRE 2015'!P6</f>
        <v>33319.19</v>
      </c>
      <c r="Q13" s="79">
        <f>+'ENERO-15'!Q6+'FEBRERO-15'!Q6+'MARZO-15'!Q6+'ABRIL-15'!Q6+'MAYO-15'!Q6+'JUNIO-15'!Q6+'JULIO-15'!Q6+'AGOSTO-15'!Q6+'SETIEMBRE-15'!Q6+'OCTUBRE-15'!Q6+'NOVIEMBRE-15'!Q6+'DICIEMBRE 2015'!Q6</f>
        <v>2998.7271000000005</v>
      </c>
      <c r="R13" s="79">
        <f>+'ENERO-15'!R6+'FEBRERO-15'!R6+'MARZO-15'!R6+'ABRIL-15'!R6+'MAYO-15'!R6+'JUNIO-15'!R6+'JULIO-15'!R6+'AGOSTO-15'!R6+'SETIEMBRE-15'!R6+'OCTUBRE-15'!R6+'NOVIEMBRE-15'!R6+'DICIEMBRE 2015'!R6</f>
        <v>0</v>
      </c>
      <c r="S13" s="79">
        <f>+'ENERO-15'!S6+'FEBRERO-15'!S6+'MARZO-15'!S6+'ABRIL-15'!S6+'MAYO-15'!S6+'JUNIO-15'!S6+'JULIO-15'!S6+'AGOSTO-15'!S6+'SETIEMBRE-15'!S6+'OCTUBRE-15'!S6+'NOVIEMBRE-15'!S6+'DICIEMBRE 2015'!S6</f>
        <v>2998.7271000000005</v>
      </c>
    </row>
    <row r="14" spans="1:19" ht="13.5">
      <c r="A14" s="77">
        <v>3</v>
      </c>
      <c r="B14" s="78" t="s">
        <v>19</v>
      </c>
      <c r="C14" s="79">
        <f>+'ENERO-15'!C7+'FEBRERO-15'!C7+'MARZO-15'!C7+'ABRIL-15'!C7+'MAYO-15'!C7+'JUNIO-15'!C7+'JULIO-15'!C7+'AGOSTO-15'!C7+'SETIEMBRE-15'!C7+'OCTUBRE-15'!C7+'NOVIEMBRE-15'!C7+'DICIEMBRE 2015'!C7</f>
        <v>647</v>
      </c>
      <c r="D14" s="79">
        <f>+'ENERO-15'!D7+'FEBRERO-15'!D7+'MARZO-15'!D7+'ABRIL-15'!D7+'MAYO-15'!D7+'JUNIO-15'!D7+'JULIO-15'!D7+'AGOSTO-15'!D7+'SETIEMBRE-15'!D7+'OCTUBRE-15'!D7+'NOVIEMBRE-15'!D7+'DICIEMBRE 2015'!D7</f>
        <v>60</v>
      </c>
      <c r="E14" s="79">
        <f>+'ENERO-15'!E7+'FEBRERO-15'!E7+'MARZO-15'!E7+'ABRIL-15'!E7+'MAYO-15'!E7+'JUNIO-15'!E7+'JULIO-15'!E7+'AGOSTO-15'!E7+'SETIEMBRE-15'!E7+'OCTUBRE-15'!E7+'NOVIEMBRE-15'!E7+'DICIEMBRE 2015'!E7</f>
        <v>20724</v>
      </c>
      <c r="F14" s="79">
        <f>+'ENERO-15'!F7+'FEBRERO-15'!F7+'MARZO-15'!F7+'ABRIL-15'!F7+'MAYO-15'!F7+'JUNIO-15'!F7+'JULIO-15'!F7+'AGOSTO-15'!F7+'SETIEMBRE-15'!F7+'OCTUBRE-15'!F7+'NOVIEMBRE-15'!F7+'DICIEMBRE 2015'!F7</f>
        <v>6013.03</v>
      </c>
      <c r="G14" s="79">
        <f>+'ENERO-15'!G7+'FEBRERO-15'!G7+'MARZO-15'!G7+'ABRIL-15'!G7+'MAYO-15'!G7+'JUNIO-15'!G7+'JULIO-15'!G7+'AGOSTO-15'!G7+'SETIEMBRE-15'!G7+'OCTUBRE-15'!G7+'NOVIEMBRE-15'!G7+'DICIEMBRE 2015'!G7</f>
        <v>909.25</v>
      </c>
      <c r="H14" s="79">
        <f>+'ENERO-15'!H7+'FEBRERO-15'!H7+'MARZO-15'!H7+'ABRIL-15'!H7+'MAYO-15'!H7+'JUNIO-15'!H7+'JULIO-15'!H7+'AGOSTO-15'!H7+'SETIEMBRE-15'!H7+'OCTUBRE-15'!H7+'NOVIEMBRE-15'!H7+'DICIEMBRE 2015'!H7</f>
        <v>0</v>
      </c>
      <c r="I14" s="79">
        <f>+'ENERO-15'!I7+'FEBRERO-15'!I7+'MARZO-15'!I7+'ABRIL-15'!I7+'MAYO-15'!I7+'JUNIO-15'!I7+'JULIO-15'!I7+'AGOSTO-15'!I7+'SETIEMBRE-15'!I7+'OCTUBRE-15'!I7+'NOVIEMBRE-15'!I7+'DICIEMBRE 2015'!I7</f>
        <v>0</v>
      </c>
      <c r="J14" s="79">
        <f>+'ENERO-15'!J7+'FEBRERO-15'!J7+'MARZO-15'!J7+'ABRIL-15'!J7+'MAYO-15'!J7+'JUNIO-15'!J7+'JULIO-15'!J7+'AGOSTO-15'!J7+'SETIEMBRE-15'!J7+'OCTUBRE-15'!J7+'NOVIEMBRE-15'!J7+'DICIEMBRE 2015'!J7</f>
        <v>4061.12</v>
      </c>
      <c r="K14" s="79">
        <f>+'ENERO-15'!K7+'FEBRERO-15'!K7+'MARZO-15'!K7+'ABRIL-15'!K7+'MAYO-15'!K7+'JUNIO-15'!K7+'JULIO-15'!K7+'AGOSTO-15'!K7+'SETIEMBRE-15'!K7+'OCTUBRE-15'!K7+'NOVIEMBRE-15'!K7+'DICIEMBRE 2015'!K7</f>
        <v>1802</v>
      </c>
      <c r="L14" s="79">
        <f>+'ENERO-15'!L7+'FEBRERO-15'!L7+'MARZO-15'!L7+'ABRIL-15'!L7+'MAYO-15'!L7+'JUNIO-15'!L7+'JULIO-15'!L7+'AGOSTO-15'!L7+'SETIEMBRE-15'!L7+'OCTUBRE-15'!L7+'NOVIEMBRE-15'!L7+'DICIEMBRE 2015'!L7</f>
        <v>0</v>
      </c>
      <c r="M14" s="79">
        <f>+'ENERO-15'!M7+'FEBRERO-15'!M7+'MARZO-15'!M7+'ABRIL-15'!M7+'MAYO-15'!M7+'JUNIO-15'!M7+'JULIO-15'!M7+'AGOSTO-15'!M7+'SETIEMBRE-15'!M7+'OCTUBRE-15'!M7+'NOVIEMBRE-15'!M7+'DICIEMBRE 2015'!M7</f>
        <v>851</v>
      </c>
      <c r="N14" s="79">
        <f>+'ENERO-15'!N7+'FEBRERO-15'!N7+'MARZO-15'!N7+'ABRIL-15'!N7+'MAYO-15'!N7+'JUNIO-15'!N7+'JULIO-15'!N7+'AGOSTO-15'!N7+'SETIEMBRE-15'!N7+'OCTUBRE-15'!N7+'NOVIEMBRE-15'!N7+'DICIEMBRE 2015'!N7</f>
        <v>0</v>
      </c>
      <c r="O14" s="79">
        <f>+'ENERO-15'!O7+'FEBRERO-15'!O7+'MARZO-15'!O7+'ABRIL-15'!O7+'MAYO-15'!O7+'JUNIO-15'!O7+'JULIO-15'!O7+'AGOSTO-15'!O7+'SETIEMBRE-15'!O7+'OCTUBRE-15'!O7+'NOVIEMBRE-15'!O7+'DICIEMBRE 2015'!O7</f>
        <v>34360.4</v>
      </c>
      <c r="P14" s="79">
        <f>+'ENERO-15'!P7+'FEBRERO-15'!P7+'MARZO-15'!P7+'ABRIL-15'!P7+'MAYO-15'!P7+'JUNIO-15'!P7+'JULIO-15'!P7+'AGOSTO-15'!P7+'SETIEMBRE-15'!P7+'OCTUBRE-15'!P7+'NOVIEMBRE-15'!P7+'DICIEMBRE 2015'!P7</f>
        <v>29448.280000000002</v>
      </c>
      <c r="Q14" s="79">
        <f>+'ENERO-15'!Q7+'FEBRERO-15'!Q7+'MARZO-15'!Q7+'ABRIL-15'!Q7+'MAYO-15'!Q7+'JUNIO-15'!Q7+'JULIO-15'!Q7+'AGOSTO-15'!Q7+'SETIEMBRE-15'!Q7+'OCTUBRE-15'!Q7+'NOVIEMBRE-15'!Q7+'DICIEMBRE 2015'!Q7</f>
        <v>2650.3452000000007</v>
      </c>
      <c r="R14" s="79">
        <f>+'ENERO-15'!R7+'FEBRERO-15'!R7+'MARZO-15'!R7+'ABRIL-15'!R7+'MAYO-15'!R7+'JUNIO-15'!R7+'JULIO-15'!R7+'AGOSTO-15'!R7+'SETIEMBRE-15'!R7+'OCTUBRE-15'!R7+'NOVIEMBRE-15'!R7+'DICIEMBRE 2015'!R7</f>
        <v>0</v>
      </c>
      <c r="S14" s="79">
        <f>+'ENERO-15'!S7+'FEBRERO-15'!S7+'MARZO-15'!S7+'ABRIL-15'!S7+'MAYO-15'!S7+'JUNIO-15'!S7+'JULIO-15'!S7+'AGOSTO-15'!S7+'SETIEMBRE-15'!S7+'OCTUBRE-15'!S7+'NOVIEMBRE-15'!S7+'DICIEMBRE 2015'!S7</f>
        <v>2650.3452000000007</v>
      </c>
    </row>
    <row r="15" spans="1:19" ht="13.5">
      <c r="A15" s="77">
        <v>3</v>
      </c>
      <c r="B15" s="78" t="s">
        <v>2</v>
      </c>
      <c r="C15" s="79">
        <f>+'ENERO-15'!C8+'FEBRERO-15'!C8+'MARZO-15'!C8+'ABRIL-15'!C8+'MAYO-15'!C8+'JUNIO-15'!C8+'JULIO-15'!C8+'AGOSTO-15'!C8+'SETIEMBRE-15'!C8+'OCTUBRE-15'!C8+'NOVIEMBRE-15'!C8+'DICIEMBRE 2015'!C8</f>
        <v>942</v>
      </c>
      <c r="D15" s="79">
        <f>+'ENERO-15'!D8+'FEBRERO-15'!D8+'MARZO-15'!D8+'ABRIL-15'!D8+'MAYO-15'!D8+'JUNIO-15'!D8+'JULIO-15'!D8+'AGOSTO-15'!D8+'SETIEMBRE-15'!D8+'OCTUBRE-15'!D8+'NOVIEMBRE-15'!D8+'DICIEMBRE 2015'!D8</f>
        <v>60</v>
      </c>
      <c r="E15" s="79">
        <f>+'ENERO-15'!E8+'FEBRERO-15'!E8+'MARZO-15'!E8+'ABRIL-15'!E8+'MAYO-15'!E8+'JUNIO-15'!E8+'JULIO-15'!E8+'AGOSTO-15'!E8+'SETIEMBRE-15'!E8+'OCTUBRE-15'!E8+'NOVIEMBRE-15'!E8+'DICIEMBRE 2015'!E8</f>
        <v>21384</v>
      </c>
      <c r="F15" s="79">
        <f>+'ENERO-15'!F8+'FEBRERO-15'!F8+'MARZO-15'!F8+'ABRIL-15'!F8+'MAYO-15'!F8+'JUNIO-15'!F8+'JULIO-15'!F8+'AGOSTO-15'!F8+'SETIEMBRE-15'!F8+'OCTUBRE-15'!F8+'NOVIEMBRE-15'!F8+'DICIEMBRE 2015'!F8</f>
        <v>5952.279999999999</v>
      </c>
      <c r="G15" s="79">
        <f>+'ENERO-15'!G8+'FEBRERO-15'!G8+'MARZO-15'!G8+'ABRIL-15'!G8+'MAYO-15'!G8+'JUNIO-15'!G8+'JULIO-15'!G8+'AGOSTO-15'!G8+'SETIEMBRE-15'!G8+'OCTUBRE-15'!G8+'NOVIEMBRE-15'!G8+'DICIEMBRE 2015'!G8</f>
        <v>3000</v>
      </c>
      <c r="H15" s="79">
        <f>+'ENERO-15'!H8+'FEBRERO-15'!H8+'MARZO-15'!H8+'ABRIL-15'!H8+'MAYO-15'!H8+'JUNIO-15'!H8+'JULIO-15'!H8+'AGOSTO-15'!H8+'SETIEMBRE-15'!H8+'OCTUBRE-15'!H8+'NOVIEMBRE-15'!H8+'DICIEMBRE 2015'!H8</f>
        <v>603.9599999999999</v>
      </c>
      <c r="I15" s="79">
        <f>+'ENERO-15'!I8+'FEBRERO-15'!I8+'MARZO-15'!I8+'ABRIL-15'!I8+'MAYO-15'!I8+'JUNIO-15'!I8+'JULIO-15'!I8+'AGOSTO-15'!I8+'SETIEMBRE-15'!I8+'OCTUBRE-15'!I8+'NOVIEMBRE-15'!I8+'DICIEMBRE 2015'!I8</f>
        <v>195.24000000000004</v>
      </c>
      <c r="J15" s="79">
        <f>+'ENERO-15'!J8+'FEBRERO-15'!J8+'MARZO-15'!J8+'ABRIL-15'!J8+'MAYO-15'!J8+'JUNIO-15'!J8+'JULIO-15'!J8+'AGOSTO-15'!J8+'SETIEMBRE-15'!J8+'OCTUBRE-15'!J8+'NOVIEMBRE-15'!J8+'DICIEMBRE 2015'!J8</f>
        <v>4193.44</v>
      </c>
      <c r="K15" s="79">
        <f>+'ENERO-15'!K8+'FEBRERO-15'!K8+'MARZO-15'!K8+'ABRIL-15'!K8+'MAYO-15'!K8+'JUNIO-15'!K8+'JULIO-15'!K8+'AGOSTO-15'!K8+'SETIEMBRE-15'!K8+'OCTUBRE-15'!K8+'NOVIEMBRE-15'!K8+'DICIEMBRE 2015'!K8</f>
        <v>1923.6</v>
      </c>
      <c r="L15" s="79">
        <f>+'ENERO-15'!L8+'FEBRERO-15'!L8+'MARZO-15'!L8+'ABRIL-15'!L8+'MAYO-15'!L8+'JUNIO-15'!L8+'JULIO-15'!L8+'AGOSTO-15'!L8+'SETIEMBRE-15'!L8+'OCTUBRE-15'!L8+'NOVIEMBRE-15'!L8+'DICIEMBRE 2015'!L8</f>
        <v>0</v>
      </c>
      <c r="M15" s="79">
        <f>+'ENERO-15'!M8+'FEBRERO-15'!M8+'MARZO-15'!M8+'ABRIL-15'!M8+'MAYO-15'!M8+'JUNIO-15'!M8+'JULIO-15'!M8+'AGOSTO-15'!M8+'SETIEMBRE-15'!M8+'OCTUBRE-15'!M8+'NOVIEMBRE-15'!M8+'DICIEMBRE 2015'!M8</f>
        <v>862.5</v>
      </c>
      <c r="N15" s="79">
        <f>+'ENERO-15'!N8+'FEBRERO-15'!N8+'MARZO-15'!N8+'ABRIL-15'!N8+'MAYO-15'!N8+'JUNIO-15'!N8+'JULIO-15'!N8+'AGOSTO-15'!N8+'SETIEMBRE-15'!N8+'OCTUBRE-15'!N8+'NOVIEMBRE-15'!N8+'DICIEMBRE 2015'!N8</f>
        <v>0</v>
      </c>
      <c r="O15" s="79">
        <f>+'ENERO-15'!O8+'FEBRERO-15'!O8+'MARZO-15'!O8+'ABRIL-15'!O8+'MAYO-15'!O8+'JUNIO-15'!O8+'JULIO-15'!O8+'AGOSTO-15'!O8+'SETIEMBRE-15'!O8+'OCTUBRE-15'!O8+'NOVIEMBRE-15'!O8+'DICIEMBRE 2015'!O8</f>
        <v>38115.02</v>
      </c>
      <c r="P15" s="79">
        <f>+'ENERO-15'!P8+'FEBRERO-15'!P8+'MARZO-15'!P8+'ABRIL-15'!P8+'MAYO-15'!P8+'JUNIO-15'!P8+'JULIO-15'!P8+'AGOSTO-15'!P8+'SETIEMBRE-15'!P8+'OCTUBRE-15'!P8+'NOVIEMBRE-15'!P8+'DICIEMBRE 2015'!P8</f>
        <v>33059.079999999994</v>
      </c>
      <c r="Q15" s="79">
        <f>+'ENERO-15'!Q8+'FEBRERO-15'!Q8+'MARZO-15'!Q8+'ABRIL-15'!Q8+'MAYO-15'!Q8+'JUNIO-15'!Q8+'JULIO-15'!Q8+'AGOSTO-15'!Q8+'SETIEMBRE-15'!Q8+'OCTUBRE-15'!Q8+'NOVIEMBRE-15'!Q8+'DICIEMBRE 2015'!Q8</f>
        <v>2975.3172000000004</v>
      </c>
      <c r="R15" s="79">
        <f>+'ENERO-15'!R8+'FEBRERO-15'!R8+'MARZO-15'!R8+'ABRIL-15'!R8+'MAYO-15'!R8+'JUNIO-15'!R8+'JULIO-15'!R8+'AGOSTO-15'!R8+'SETIEMBRE-15'!R8+'OCTUBRE-15'!R8+'NOVIEMBRE-15'!R8+'DICIEMBRE 2015'!R8</f>
        <v>0</v>
      </c>
      <c r="S15" s="79">
        <f>+'ENERO-15'!S8+'FEBRERO-15'!S8+'MARZO-15'!S8+'ABRIL-15'!S8+'MAYO-15'!S8+'JUNIO-15'!S8+'JULIO-15'!S8+'AGOSTO-15'!S8+'SETIEMBRE-15'!S8+'OCTUBRE-15'!S8+'NOVIEMBRE-15'!S8+'DICIEMBRE 2015'!S8</f>
        <v>2975.3172000000004</v>
      </c>
    </row>
    <row r="16" spans="1:19" ht="13.5">
      <c r="A16" s="77">
        <v>1</v>
      </c>
      <c r="B16" s="78" t="s">
        <v>26</v>
      </c>
      <c r="C16" s="79">
        <f>+'ENERO-15'!C9+'FEBRERO-15'!C9+'MARZO-15'!C9+'ABRIL-15'!C9+'MAYO-15'!C9+'JUNIO-15'!C9+'JULIO-15'!C9+'AGOSTO-15'!C9+'SETIEMBRE-15'!C9+'OCTUBRE-15'!C9+'NOVIEMBRE-15'!C9+'DICIEMBRE 2015'!C9</f>
        <v>0</v>
      </c>
      <c r="D16" s="79">
        <f>+'ENERO-15'!D9+'FEBRERO-15'!D9+'MARZO-15'!D9+'ABRIL-15'!D9+'MAYO-15'!D9+'JUNIO-15'!D9+'JULIO-15'!D9+'AGOSTO-15'!D9+'SETIEMBRE-15'!D9+'OCTUBRE-15'!D9+'NOVIEMBRE-15'!D9+'DICIEMBRE 2015'!D9</f>
        <v>10</v>
      </c>
      <c r="E16" s="79">
        <f>+'ENERO-15'!E9+'FEBRERO-15'!E9+'MARZO-15'!E9+'ABRIL-15'!E9+'MAYO-15'!E9+'JUNIO-15'!E9+'JULIO-15'!E9+'AGOSTO-15'!E9+'SETIEMBRE-15'!E9+'OCTUBRE-15'!E9+'NOVIEMBRE-15'!E9+'DICIEMBRE 2015'!E9</f>
        <v>3114.8</v>
      </c>
      <c r="F16" s="79">
        <f>+'ENERO-15'!F9+'FEBRERO-15'!F9+'MARZO-15'!F9+'ABRIL-15'!F9+'MAYO-15'!F9+'JUNIO-15'!F9+'JULIO-15'!F9+'AGOSTO-15'!F9+'SETIEMBRE-15'!F9+'OCTUBRE-15'!F9+'NOVIEMBRE-15'!F9+'DICIEMBRE 2015'!F9</f>
        <v>0</v>
      </c>
      <c r="G16" s="79">
        <f>+'ENERO-15'!G9+'FEBRERO-15'!G9+'MARZO-15'!G9+'ABRIL-15'!G9+'MAYO-15'!G9+'JUNIO-15'!G9+'JULIO-15'!G9+'AGOSTO-15'!G9+'SETIEMBRE-15'!G9+'OCTUBRE-15'!G9+'NOVIEMBRE-15'!G9+'DICIEMBRE 2015'!G9</f>
        <v>0</v>
      </c>
      <c r="H16" s="79">
        <f>+'ENERO-15'!H9+'FEBRERO-15'!H9+'MARZO-15'!H9+'ABRIL-15'!H9+'MAYO-15'!H9+'JUNIO-15'!H9+'JULIO-15'!H9+'AGOSTO-15'!H9+'SETIEMBRE-15'!H9+'OCTUBRE-15'!H9+'NOVIEMBRE-15'!H9+'DICIEMBRE 2015'!H9</f>
        <v>0</v>
      </c>
      <c r="I16" s="79">
        <f>+'ENERO-15'!I9+'FEBRERO-15'!I9+'MARZO-15'!I9+'ABRIL-15'!I9+'MAYO-15'!I9+'JUNIO-15'!I9+'JULIO-15'!I9+'AGOSTO-15'!I9+'SETIEMBRE-15'!I9+'OCTUBRE-15'!I9+'NOVIEMBRE-15'!I9+'DICIEMBRE 2015'!I9</f>
        <v>0</v>
      </c>
      <c r="J16" s="79">
        <f>+'ENERO-15'!J9+'FEBRERO-15'!J9+'MARZO-15'!J9+'ABRIL-15'!J9+'MAYO-15'!J9+'JUNIO-15'!J9+'JULIO-15'!J9+'AGOSTO-15'!J9+'SETIEMBRE-15'!J9+'OCTUBRE-15'!J9+'NOVIEMBRE-15'!J9+'DICIEMBRE 2015'!J9</f>
        <v>565.85</v>
      </c>
      <c r="K16" s="79">
        <f>+'ENERO-15'!K9+'FEBRERO-15'!K9+'MARZO-15'!K9+'ABRIL-15'!K9+'MAYO-15'!K9+'JUNIO-15'!K9+'JULIO-15'!K9+'AGOSTO-15'!K9+'SETIEMBRE-15'!K9+'OCTUBRE-15'!K9+'NOVIEMBRE-15'!K9+'DICIEMBRE 2015'!K9</f>
        <v>0</v>
      </c>
      <c r="L16" s="79">
        <f>+'ENERO-15'!L9+'FEBRERO-15'!L9+'MARZO-15'!L9+'ABRIL-15'!L9+'MAYO-15'!L9+'JUNIO-15'!L9+'JULIO-15'!L9+'AGOSTO-15'!L9+'SETIEMBRE-15'!L9+'OCTUBRE-15'!L9+'NOVIEMBRE-15'!L9+'DICIEMBRE 2015'!L9</f>
        <v>0</v>
      </c>
      <c r="M16" s="79">
        <f>+'ENERO-15'!M9+'FEBRERO-15'!M9+'MARZO-15'!M9+'ABRIL-15'!M9+'MAYO-15'!M9+'JUNIO-15'!M9+'JULIO-15'!M9+'AGOSTO-15'!M9+'SETIEMBRE-15'!M9+'OCTUBRE-15'!M9+'NOVIEMBRE-15'!M9+'DICIEMBRE 2015'!M9</f>
        <v>0</v>
      </c>
      <c r="N16" s="79">
        <f>+'ENERO-15'!N9+'FEBRERO-15'!N9+'MARZO-15'!N9+'ABRIL-15'!N9+'MAYO-15'!N9+'JUNIO-15'!N9+'JULIO-15'!N9+'AGOSTO-15'!N9+'SETIEMBRE-15'!N9+'OCTUBRE-15'!N9+'NOVIEMBRE-15'!N9+'DICIEMBRE 2015'!N9</f>
        <v>0</v>
      </c>
      <c r="O16" s="79">
        <f>+'ENERO-15'!O9+'FEBRERO-15'!O9+'MARZO-15'!O9+'ABRIL-15'!O9+'MAYO-15'!O9+'JUNIO-15'!O9+'JULIO-15'!O9+'AGOSTO-15'!O9+'SETIEMBRE-15'!O9+'OCTUBRE-15'!O9+'NOVIEMBRE-15'!O9+'DICIEMBRE 2015'!O9</f>
        <v>3680.6499999999996</v>
      </c>
      <c r="P16" s="79">
        <f>+'ENERO-15'!P9+'FEBRERO-15'!P9+'MARZO-15'!P9+'ABRIL-15'!P9+'MAYO-15'!P9+'JUNIO-15'!P9+'JULIO-15'!P9+'AGOSTO-15'!P9+'SETIEMBRE-15'!P9+'OCTUBRE-15'!P9+'NOVIEMBRE-15'!P9+'DICIEMBRE 2015'!P9</f>
        <v>3114.8</v>
      </c>
      <c r="Q16" s="79">
        <f>+'ENERO-15'!Q9+'FEBRERO-15'!Q9+'MARZO-15'!Q9+'ABRIL-15'!Q9+'MAYO-15'!Q9+'JUNIO-15'!Q9+'JULIO-15'!Q9+'AGOSTO-15'!Q9+'SETIEMBRE-15'!Q9+'OCTUBRE-15'!Q9+'NOVIEMBRE-15'!Q9+'DICIEMBRE 2015'!Q9</f>
        <v>280.332</v>
      </c>
      <c r="R16" s="79">
        <f>+'ENERO-15'!R9+'FEBRERO-15'!R9+'MARZO-15'!R9+'ABRIL-15'!R9+'MAYO-15'!R9+'JUNIO-15'!R9+'JULIO-15'!R9+'AGOSTO-15'!R9+'SETIEMBRE-15'!R9+'OCTUBRE-15'!R9+'NOVIEMBRE-15'!R9+'DICIEMBRE 2015'!R9</f>
        <v>0</v>
      </c>
      <c r="S16" s="79">
        <f>+'ENERO-15'!S9+'FEBRERO-15'!S9+'MARZO-15'!S9+'ABRIL-15'!S9+'MAYO-15'!S9+'JUNIO-15'!S9+'JULIO-15'!S9+'AGOSTO-15'!S9+'SETIEMBRE-15'!S9+'OCTUBRE-15'!S9+'NOVIEMBRE-15'!S9+'DICIEMBRE 2015'!S9</f>
        <v>280.332</v>
      </c>
    </row>
    <row r="17" spans="1:19" ht="13.5">
      <c r="A17" s="77">
        <v>1</v>
      </c>
      <c r="B17" s="78" t="s">
        <v>20</v>
      </c>
      <c r="C17" s="79">
        <f>+'ENERO-15'!C10+'FEBRERO-15'!C10+'MARZO-15'!C10+'ABRIL-15'!C10+'MAYO-15'!C10+'JUNIO-15'!C10+'JULIO-15'!C10+'AGOSTO-15'!C10+'SETIEMBRE-15'!C10+'OCTUBRE-15'!C10+'NOVIEMBRE-15'!C10+'DICIEMBRE 2015'!C10</f>
        <v>0</v>
      </c>
      <c r="D17" s="79">
        <f>+'ENERO-15'!D10+'FEBRERO-15'!D10+'MARZO-15'!D10+'ABRIL-15'!D10+'MAYO-15'!D10+'JUNIO-15'!D10+'JULIO-15'!D10+'AGOSTO-15'!D10+'SETIEMBRE-15'!D10+'OCTUBRE-15'!D10+'NOVIEMBRE-15'!D10+'DICIEMBRE 2015'!D10</f>
        <v>0</v>
      </c>
      <c r="E17" s="79">
        <f>+'ENERO-15'!E10+'FEBRERO-15'!E10+'MARZO-15'!E10+'ABRIL-15'!E10+'MAYO-15'!E10+'JUNIO-15'!E10+'JULIO-15'!E10+'AGOSTO-15'!E10+'SETIEMBRE-15'!E10+'OCTUBRE-15'!E10+'NOVIEMBRE-15'!E10+'DICIEMBRE 2015'!E10</f>
        <v>10900</v>
      </c>
      <c r="F17" s="79">
        <f>+'ENERO-15'!F10+'FEBRERO-15'!F10+'MARZO-15'!F10+'ABRIL-15'!F10+'MAYO-15'!F10+'JUNIO-15'!F10+'JULIO-15'!F10+'AGOSTO-15'!F10+'SETIEMBRE-15'!F10+'OCTUBRE-15'!F10+'NOVIEMBRE-15'!F10+'DICIEMBRE 2015'!F10</f>
        <v>975</v>
      </c>
      <c r="G17" s="79">
        <f>+'ENERO-15'!G10+'FEBRERO-15'!G10+'MARZO-15'!G10+'ABRIL-15'!G10+'MAYO-15'!G10+'JUNIO-15'!G10+'JULIO-15'!G10+'AGOSTO-15'!G10+'SETIEMBRE-15'!G10+'OCTUBRE-15'!G10+'NOVIEMBRE-15'!G10+'DICIEMBRE 2015'!G10</f>
        <v>0</v>
      </c>
      <c r="H17" s="79">
        <f>+'ENERO-15'!H10+'FEBRERO-15'!H10+'MARZO-15'!H10+'ABRIL-15'!H10+'MAYO-15'!H10+'JUNIO-15'!H10+'JULIO-15'!H10+'AGOSTO-15'!H10+'SETIEMBRE-15'!H10+'OCTUBRE-15'!H10+'NOVIEMBRE-15'!H10+'DICIEMBRE 2015'!H10</f>
        <v>0</v>
      </c>
      <c r="I17" s="79">
        <f>+'ENERO-15'!I10+'FEBRERO-15'!I10+'MARZO-15'!I10+'ABRIL-15'!I10+'MAYO-15'!I10+'JUNIO-15'!I10+'JULIO-15'!I10+'AGOSTO-15'!I10+'SETIEMBRE-15'!I10+'OCTUBRE-15'!I10+'NOVIEMBRE-15'!I10+'DICIEMBRE 2015'!I10</f>
        <v>0</v>
      </c>
      <c r="J17" s="79">
        <f>+'ENERO-15'!J10+'FEBRERO-15'!J10+'MARZO-15'!J10+'ABRIL-15'!J10+'MAYO-15'!J10+'JUNIO-15'!J10+'JULIO-15'!J10+'AGOSTO-15'!J10+'SETIEMBRE-15'!J10+'OCTUBRE-15'!J10+'NOVIEMBRE-15'!J10+'DICIEMBRE 2015'!J10</f>
        <v>2143.67</v>
      </c>
      <c r="K17" s="79">
        <f>+'ENERO-15'!K10+'FEBRERO-15'!K10+'MARZO-15'!K10+'ABRIL-15'!K10+'MAYO-15'!K10+'JUNIO-15'!K10+'JULIO-15'!K10+'AGOSTO-15'!K10+'SETIEMBRE-15'!K10+'OCTUBRE-15'!K10+'NOVIEMBRE-15'!K10+'DICIEMBRE 2015'!K10</f>
        <v>0</v>
      </c>
      <c r="L17" s="79">
        <f>+'ENERO-15'!L10+'FEBRERO-15'!L10+'MARZO-15'!L10+'ABRIL-15'!L10+'MAYO-15'!L10+'JUNIO-15'!L10+'JULIO-15'!L10+'AGOSTO-15'!L10+'SETIEMBRE-15'!L10+'OCTUBRE-15'!L10+'NOVIEMBRE-15'!L10+'DICIEMBRE 2015'!L10</f>
        <v>0</v>
      </c>
      <c r="M17" s="79">
        <f>+'ENERO-15'!M10+'FEBRERO-15'!M10+'MARZO-15'!M10+'ABRIL-15'!M10+'MAYO-15'!M10+'JUNIO-15'!M10+'JULIO-15'!M10+'AGOSTO-15'!M10+'SETIEMBRE-15'!M10+'OCTUBRE-15'!M10+'NOVIEMBRE-15'!M10+'DICIEMBRE 2015'!M10</f>
        <v>0</v>
      </c>
      <c r="N17" s="79">
        <f>+'ENERO-15'!N10+'FEBRERO-15'!N10+'MARZO-15'!N10+'ABRIL-15'!N10+'MAYO-15'!N10+'JUNIO-15'!N10+'JULIO-15'!N10+'AGOSTO-15'!N10+'SETIEMBRE-15'!N10+'OCTUBRE-15'!N10+'NOVIEMBRE-15'!N10+'DICIEMBRE 2015'!N10</f>
        <v>0</v>
      </c>
      <c r="O17" s="79">
        <f>+'ENERO-15'!O10+'FEBRERO-15'!O10+'MARZO-15'!O10+'ABRIL-15'!O10+'MAYO-15'!O10+'JUNIO-15'!O10+'JULIO-15'!O10+'AGOSTO-15'!O10+'SETIEMBRE-15'!O10+'OCTUBRE-15'!O10+'NOVIEMBRE-15'!O10+'DICIEMBRE 2015'!O10</f>
        <v>14018.67</v>
      </c>
      <c r="P17" s="79">
        <f>+'ENERO-15'!P10+'FEBRERO-15'!P10+'MARZO-15'!P10+'ABRIL-15'!P10+'MAYO-15'!P10+'JUNIO-15'!P10+'JULIO-15'!P10+'AGOSTO-15'!P10+'SETIEMBRE-15'!P10+'OCTUBRE-15'!P10+'NOVIEMBRE-15'!P10+'DICIEMBRE 2015'!P10</f>
        <v>11875</v>
      </c>
      <c r="Q17" s="79">
        <f>+'ENERO-15'!Q10+'FEBRERO-15'!Q10+'MARZO-15'!Q10+'ABRIL-15'!Q10+'MAYO-15'!Q10+'JUNIO-15'!Q10+'JULIO-15'!Q10+'AGOSTO-15'!Q10+'SETIEMBRE-15'!Q10+'OCTUBRE-15'!Q10+'NOVIEMBRE-15'!Q10+'DICIEMBRE 2015'!Q10</f>
        <v>1068.75</v>
      </c>
      <c r="R17" s="79">
        <f>+'ENERO-15'!R10+'FEBRERO-15'!R10+'MARZO-15'!R10+'ABRIL-15'!R10+'MAYO-15'!R10+'JUNIO-15'!R10+'JULIO-15'!R10+'AGOSTO-15'!R10+'SETIEMBRE-15'!R10+'OCTUBRE-15'!R10+'NOVIEMBRE-15'!R10+'DICIEMBRE 2015'!R10</f>
        <v>0</v>
      </c>
      <c r="S17" s="79">
        <f>+'ENERO-15'!S10+'FEBRERO-15'!S10+'MARZO-15'!S10+'ABRIL-15'!S10+'MAYO-15'!S10+'JUNIO-15'!S10+'JULIO-15'!S10+'AGOSTO-15'!S10+'SETIEMBRE-15'!S10+'OCTUBRE-15'!S10+'NOVIEMBRE-15'!S10+'DICIEMBRE 2015'!S10</f>
        <v>1068.75</v>
      </c>
    </row>
    <row r="18" spans="1:19" ht="13.5">
      <c r="A18" s="77">
        <v>2</v>
      </c>
      <c r="B18" s="78" t="s">
        <v>15</v>
      </c>
      <c r="C18" s="79">
        <f>+'ENERO-15'!C11+'FEBRERO-15'!C11+'MARZO-15'!C11+'ABRIL-15'!C11+'MAYO-15'!C11+'JUNIO-15'!C11+'JULIO-15'!C11+'AGOSTO-15'!C11+'SETIEMBRE-15'!C11+'OCTUBRE-15'!C11+'NOVIEMBRE-15'!C11+'DICIEMBRE 2015'!C11</f>
        <v>0</v>
      </c>
      <c r="D18" s="79">
        <f>+'ENERO-15'!D11+'FEBRERO-15'!D11+'MARZO-15'!D11+'ABRIL-15'!D11+'MAYO-15'!D11+'JUNIO-15'!D11+'JULIO-15'!D11+'AGOSTO-15'!D11+'SETIEMBRE-15'!D11+'OCTUBRE-15'!D11+'NOVIEMBRE-15'!D11+'DICIEMBRE 2015'!D11</f>
        <v>45</v>
      </c>
      <c r="E18" s="79">
        <f>+'ENERO-15'!E11+'FEBRERO-15'!E11+'MARZO-15'!E11+'ABRIL-15'!E11+'MAYO-15'!E11+'JUNIO-15'!E11+'JULIO-15'!E11+'AGOSTO-15'!E11+'SETIEMBRE-15'!E11+'OCTUBRE-15'!E11+'NOVIEMBRE-15'!E11+'DICIEMBRE 2015'!E11</f>
        <v>12000</v>
      </c>
      <c r="F18" s="79">
        <f>+'ENERO-15'!F11+'FEBRERO-15'!F11+'MARZO-15'!F11+'ABRIL-15'!F11+'MAYO-15'!F11+'JUNIO-15'!F11+'JULIO-15'!F11+'AGOSTO-15'!F11+'SETIEMBRE-15'!F11+'OCTUBRE-15'!F11+'NOVIEMBRE-15'!F11+'DICIEMBRE 2015'!F11</f>
        <v>2400</v>
      </c>
      <c r="G18" s="79">
        <f>+'ENERO-15'!G11+'FEBRERO-15'!G11+'MARZO-15'!G11+'ABRIL-15'!G11+'MAYO-15'!G11+'JUNIO-15'!G11+'JULIO-15'!G11+'AGOSTO-15'!G11+'SETIEMBRE-15'!G11+'OCTUBRE-15'!G11+'NOVIEMBRE-15'!G11+'DICIEMBRE 2015'!G11</f>
        <v>0</v>
      </c>
      <c r="H18" s="79">
        <f>+'ENERO-15'!H11+'FEBRERO-15'!H11+'MARZO-15'!H11+'ABRIL-15'!H11+'MAYO-15'!H11+'JUNIO-15'!H11+'JULIO-15'!H11+'AGOSTO-15'!H11+'SETIEMBRE-15'!H11+'OCTUBRE-15'!H11+'NOVIEMBRE-15'!H11+'DICIEMBRE 2015'!H11</f>
        <v>0</v>
      </c>
      <c r="I18" s="79">
        <f>+'ENERO-15'!I11+'FEBRERO-15'!I11+'MARZO-15'!I11+'ABRIL-15'!I11+'MAYO-15'!I11+'JUNIO-15'!I11+'JULIO-15'!I11+'AGOSTO-15'!I11+'SETIEMBRE-15'!I11+'OCTUBRE-15'!I11+'NOVIEMBRE-15'!I11+'DICIEMBRE 2015'!I11</f>
        <v>0</v>
      </c>
      <c r="J18" s="79">
        <f>+'ENERO-15'!J11+'FEBRERO-15'!J11+'MARZO-15'!J11+'ABRIL-15'!J11+'MAYO-15'!J11+'JUNIO-15'!J11+'JULIO-15'!J11+'AGOSTO-15'!J11+'SETIEMBRE-15'!J11+'OCTUBRE-15'!J11+'NOVIEMBRE-15'!J11+'DICIEMBRE 2015'!J11</f>
        <v>2325.33</v>
      </c>
      <c r="K18" s="79">
        <f>+'ENERO-15'!K11+'FEBRERO-15'!K11+'MARZO-15'!K11+'ABRIL-15'!K11+'MAYO-15'!K11+'JUNIO-15'!K11+'JULIO-15'!K11+'AGOSTO-15'!K11+'SETIEMBRE-15'!K11+'OCTUBRE-15'!K11+'NOVIEMBRE-15'!K11+'DICIEMBRE 2015'!K11</f>
        <v>1075</v>
      </c>
      <c r="L18" s="79">
        <f>+'ENERO-15'!L11+'FEBRERO-15'!L11+'MARZO-15'!L11+'ABRIL-15'!L11+'MAYO-15'!L11+'JUNIO-15'!L11+'JULIO-15'!L11+'AGOSTO-15'!L11+'SETIEMBRE-15'!L11+'OCTUBRE-15'!L11+'NOVIEMBRE-15'!L11+'DICIEMBRE 2015'!L11</f>
        <v>0</v>
      </c>
      <c r="M18" s="79">
        <f>+'ENERO-15'!M11+'FEBRERO-15'!M11+'MARZO-15'!M11+'ABRIL-15'!M11+'MAYO-15'!M11+'JUNIO-15'!M11+'JULIO-15'!M11+'AGOSTO-15'!M11+'SETIEMBRE-15'!M11+'OCTUBRE-15'!M11+'NOVIEMBRE-15'!M11+'DICIEMBRE 2015'!M11</f>
        <v>0</v>
      </c>
      <c r="N18" s="79">
        <f>+'ENERO-15'!N11+'FEBRERO-15'!N11+'MARZO-15'!N11+'ABRIL-15'!N11+'MAYO-15'!N11+'JUNIO-15'!N11+'JULIO-15'!N11+'AGOSTO-15'!N11+'SETIEMBRE-15'!N11+'OCTUBRE-15'!N11+'NOVIEMBRE-15'!N11+'DICIEMBRE 2015'!N11</f>
        <v>0</v>
      </c>
      <c r="O18" s="79">
        <f>+'ENERO-15'!O11+'FEBRERO-15'!O11+'MARZO-15'!O11+'ABRIL-15'!O11+'MAYO-15'!O11+'JUNIO-15'!O11+'JULIO-15'!O11+'AGOSTO-15'!O11+'SETIEMBRE-15'!O11+'OCTUBRE-15'!O11+'NOVIEMBRE-15'!O11+'DICIEMBRE 2015'!O11</f>
        <v>17800.33</v>
      </c>
      <c r="P18" s="79">
        <f>+'ENERO-15'!P11+'FEBRERO-15'!P11+'MARZO-15'!P11+'ABRIL-15'!P11+'MAYO-15'!P11+'JUNIO-15'!P11+'JULIO-15'!P11+'AGOSTO-15'!P11+'SETIEMBRE-15'!P11+'OCTUBRE-15'!P11+'NOVIEMBRE-15'!P11+'DICIEMBRE 2015'!P11</f>
        <v>15475</v>
      </c>
      <c r="Q18" s="79">
        <f>+'ENERO-15'!Q11+'FEBRERO-15'!Q11+'MARZO-15'!Q11+'ABRIL-15'!Q11+'MAYO-15'!Q11+'JUNIO-15'!Q11+'JULIO-15'!Q11+'AGOSTO-15'!Q11+'SETIEMBRE-15'!Q11+'OCTUBRE-15'!Q11+'NOVIEMBRE-15'!Q11+'DICIEMBRE 2015'!Q11</f>
        <v>1392.75</v>
      </c>
      <c r="R18" s="79">
        <f>+'ENERO-15'!R11+'FEBRERO-15'!R11+'MARZO-15'!R11+'ABRIL-15'!R11+'MAYO-15'!R11+'JUNIO-15'!R11+'JULIO-15'!R11+'AGOSTO-15'!R11+'SETIEMBRE-15'!R11+'OCTUBRE-15'!R11+'NOVIEMBRE-15'!R11+'DICIEMBRE 2015'!R11</f>
        <v>0</v>
      </c>
      <c r="S18" s="79">
        <f>+'ENERO-15'!S11+'FEBRERO-15'!S11+'MARZO-15'!S11+'ABRIL-15'!S11+'MAYO-15'!S11+'JUNIO-15'!S11+'JULIO-15'!S11+'AGOSTO-15'!S11+'SETIEMBRE-15'!S11+'OCTUBRE-15'!S11+'NOVIEMBRE-15'!S11+'DICIEMBRE 2015'!S11</f>
        <v>1392.75</v>
      </c>
    </row>
    <row r="19" spans="1:19" ht="13.5">
      <c r="A19" s="77">
        <v>1</v>
      </c>
      <c r="B19" s="78" t="s">
        <v>12</v>
      </c>
      <c r="C19" s="79">
        <f>+'ENERO-15'!C12+'FEBRERO-15'!C12+'MARZO-15'!C12+'ABRIL-15'!C12+'MAYO-15'!C12+'JUNIO-15'!C12+'JULIO-15'!C12+'AGOSTO-15'!C12+'SETIEMBRE-15'!C12+'OCTUBRE-15'!C12+'NOVIEMBRE-15'!C12+'DICIEMBRE 2015'!C12</f>
        <v>0</v>
      </c>
      <c r="D19" s="79">
        <f>+'ENERO-15'!D12+'FEBRERO-15'!D12+'MARZO-15'!D12+'ABRIL-15'!D12+'MAYO-15'!D12+'JUNIO-15'!D12+'JULIO-15'!D12+'AGOSTO-15'!D12+'SETIEMBRE-15'!D12+'OCTUBRE-15'!D12+'NOVIEMBRE-15'!D12+'DICIEMBRE 2015'!D12</f>
        <v>0</v>
      </c>
      <c r="E19" s="79">
        <f>+'ENERO-15'!E12+'FEBRERO-15'!E12+'MARZO-15'!E12+'ABRIL-15'!E12+'MAYO-15'!E12+'JUNIO-15'!E12+'JULIO-15'!E12+'AGOSTO-15'!E12+'SETIEMBRE-15'!E12+'OCTUBRE-15'!E12+'NOVIEMBRE-15'!E12+'DICIEMBRE 2015'!E12</f>
        <v>7500</v>
      </c>
      <c r="F19" s="79">
        <f>+'ENERO-15'!F12+'FEBRERO-15'!F12+'MARZO-15'!F12+'ABRIL-15'!F12+'MAYO-15'!F12+'JUNIO-15'!F12+'JULIO-15'!F12+'AGOSTO-15'!F12+'SETIEMBRE-15'!F12+'OCTUBRE-15'!F12+'NOVIEMBRE-15'!F12+'DICIEMBRE 2015'!F12</f>
        <v>1694</v>
      </c>
      <c r="G19" s="79">
        <f>+'ENERO-15'!G12+'FEBRERO-15'!G12+'MARZO-15'!G12+'ABRIL-15'!G12+'MAYO-15'!G12+'JUNIO-15'!G12+'JULIO-15'!G12+'AGOSTO-15'!G12+'SETIEMBRE-15'!G12+'OCTUBRE-15'!G12+'NOVIEMBRE-15'!G12+'DICIEMBRE 2015'!G12</f>
        <v>0</v>
      </c>
      <c r="H19" s="79">
        <f>+'ENERO-15'!H12+'FEBRERO-15'!H12+'MARZO-15'!H12+'ABRIL-15'!H12+'MAYO-15'!H12+'JUNIO-15'!H12+'JULIO-15'!H12+'AGOSTO-15'!H12+'SETIEMBRE-15'!H12+'OCTUBRE-15'!H12+'NOVIEMBRE-15'!H12+'DICIEMBRE 2015'!H12</f>
        <v>0</v>
      </c>
      <c r="I19" s="79">
        <f>+'ENERO-15'!I12+'FEBRERO-15'!I12+'MARZO-15'!I12+'ABRIL-15'!I12+'MAYO-15'!I12+'JUNIO-15'!I12+'JULIO-15'!I12+'AGOSTO-15'!I12+'SETIEMBRE-15'!I12+'OCTUBRE-15'!I12+'NOVIEMBRE-15'!I12+'DICIEMBRE 2015'!I12</f>
        <v>0</v>
      </c>
      <c r="J19" s="79">
        <f>+'ENERO-15'!J12+'FEBRERO-15'!J12+'MARZO-15'!J12+'ABRIL-15'!J12+'MAYO-15'!J12+'JUNIO-15'!J12+'JULIO-15'!J12+'AGOSTO-15'!J12+'SETIEMBRE-15'!J12+'OCTUBRE-15'!J12+'NOVIEMBRE-15'!J12+'DICIEMBRE 2015'!J12</f>
        <v>1117.25</v>
      </c>
      <c r="K19" s="79">
        <f>+'ENERO-15'!K12+'FEBRERO-15'!K12+'MARZO-15'!K12+'ABRIL-15'!K12+'MAYO-15'!K12+'JUNIO-15'!K12+'JULIO-15'!K12+'AGOSTO-15'!K12+'SETIEMBRE-15'!K12+'OCTUBRE-15'!K12+'NOVIEMBRE-15'!K12+'DICIEMBRE 2015'!K12</f>
        <v>0</v>
      </c>
      <c r="L19" s="79">
        <f>+'ENERO-15'!L12+'FEBRERO-15'!L12+'MARZO-15'!L12+'ABRIL-15'!L12+'MAYO-15'!L12+'JUNIO-15'!L12+'JULIO-15'!L12+'AGOSTO-15'!L12+'SETIEMBRE-15'!L12+'OCTUBRE-15'!L12+'NOVIEMBRE-15'!L12+'DICIEMBRE 2015'!L12</f>
        <v>0</v>
      </c>
      <c r="M19" s="79">
        <f>+'ENERO-15'!M12+'FEBRERO-15'!M12+'MARZO-15'!M12+'ABRIL-15'!M12+'MAYO-15'!M12+'JUNIO-15'!M12+'JULIO-15'!M12+'AGOSTO-15'!M12+'SETIEMBRE-15'!M12+'OCTUBRE-15'!M12+'NOVIEMBRE-15'!M12+'DICIEMBRE 2015'!M12</f>
        <v>9.600000000000001</v>
      </c>
      <c r="N19" s="79">
        <f>+'ENERO-15'!N12+'FEBRERO-15'!N12+'MARZO-15'!N12+'ABRIL-15'!N12+'MAYO-15'!N12+'JUNIO-15'!N12+'JULIO-15'!N12+'AGOSTO-15'!N12+'SETIEMBRE-15'!N12+'OCTUBRE-15'!N12+'NOVIEMBRE-15'!N12+'DICIEMBRE 2015'!N12</f>
        <v>0</v>
      </c>
      <c r="O19" s="79">
        <f>+'ENERO-15'!O12+'FEBRERO-15'!O12+'MARZO-15'!O12+'ABRIL-15'!O12+'MAYO-15'!O12+'JUNIO-15'!O12+'JULIO-15'!O12+'AGOSTO-15'!O12+'SETIEMBRE-15'!O12+'OCTUBRE-15'!O12+'NOVIEMBRE-15'!O12+'DICIEMBRE 2015'!O12</f>
        <v>10320.849999999999</v>
      </c>
      <c r="P19" s="79">
        <f>+'ENERO-15'!P12+'FEBRERO-15'!P12+'MARZO-15'!P12+'ABRIL-15'!P12+'MAYO-15'!P12+'JUNIO-15'!P12+'JULIO-15'!P12+'AGOSTO-15'!P12+'SETIEMBRE-15'!P12+'OCTUBRE-15'!P12+'NOVIEMBRE-15'!P12+'DICIEMBRE 2015'!P12</f>
        <v>9194</v>
      </c>
      <c r="Q19" s="79">
        <f>+'ENERO-15'!Q12+'FEBRERO-15'!Q12+'MARZO-15'!Q12+'ABRIL-15'!Q12+'MAYO-15'!Q12+'JUNIO-15'!Q12+'JULIO-15'!Q12+'AGOSTO-15'!Q12+'SETIEMBRE-15'!Q12+'OCTUBRE-15'!Q12+'NOVIEMBRE-15'!Q12+'DICIEMBRE 2015'!Q12</f>
        <v>827.46</v>
      </c>
      <c r="R19" s="79">
        <f>+'ENERO-15'!R12+'FEBRERO-15'!R12+'MARZO-15'!R12+'ABRIL-15'!R12+'MAYO-15'!R12+'JUNIO-15'!R12+'JULIO-15'!R12+'AGOSTO-15'!R12+'SETIEMBRE-15'!R12+'OCTUBRE-15'!R12+'NOVIEMBRE-15'!R12+'DICIEMBRE 2015'!R12</f>
        <v>0</v>
      </c>
      <c r="S19" s="79">
        <f>+'ENERO-15'!S12+'FEBRERO-15'!S12+'MARZO-15'!S12+'ABRIL-15'!S12+'MAYO-15'!S12+'JUNIO-15'!S12+'JULIO-15'!S12+'AGOSTO-15'!S12+'SETIEMBRE-15'!S12+'OCTUBRE-15'!S12+'NOVIEMBRE-15'!S12+'DICIEMBRE 2015'!S12</f>
        <v>827.46</v>
      </c>
    </row>
    <row r="20" spans="1:19" ht="13.5">
      <c r="A20" s="77">
        <v>2</v>
      </c>
      <c r="B20" s="78" t="s">
        <v>11</v>
      </c>
      <c r="C20" s="79">
        <f>+'ENERO-15'!C13+'FEBRERO-15'!C13+'MARZO-15'!C13+'ABRIL-15'!C13+'MAYO-15'!C13+'JUNIO-15'!C13+'JULIO-15'!C13+'AGOSTO-15'!C13+'SETIEMBRE-15'!C13+'OCTUBRE-15'!C13+'NOVIEMBRE-15'!C13+'DICIEMBRE 2015'!C13</f>
        <v>0</v>
      </c>
      <c r="D20" s="79">
        <f>+'ENERO-15'!D13+'FEBRERO-15'!D13+'MARZO-15'!D13+'ABRIL-15'!D13+'MAYO-15'!D13+'JUNIO-15'!D13+'JULIO-15'!D13+'AGOSTO-15'!D13+'SETIEMBRE-15'!D13+'OCTUBRE-15'!D13+'NOVIEMBRE-15'!D13+'DICIEMBRE 2015'!D13</f>
        <v>60</v>
      </c>
      <c r="E20" s="79">
        <f>+'ENERO-15'!E13+'FEBRERO-15'!E13+'MARZO-15'!E13+'ABRIL-15'!E13+'MAYO-15'!E13+'JUNIO-15'!E13+'JULIO-15'!E13+'AGOSTO-15'!E13+'SETIEMBRE-15'!E13+'OCTUBRE-15'!E13+'NOVIEMBRE-15'!E13+'DICIEMBRE 2015'!E13</f>
        <v>10560</v>
      </c>
      <c r="F20" s="79">
        <f>+'ENERO-15'!F13+'FEBRERO-15'!F13+'MARZO-15'!F13+'ABRIL-15'!F13+'MAYO-15'!F13+'JUNIO-15'!F13+'JULIO-15'!F13+'AGOSTO-15'!F13+'SETIEMBRE-15'!F13+'OCTUBRE-15'!F13+'NOVIEMBRE-15'!F13+'DICIEMBRE 2015'!F13</f>
        <v>3626.6400000000003</v>
      </c>
      <c r="G20" s="79">
        <f>+'ENERO-15'!G13+'FEBRERO-15'!G13+'MARZO-15'!G13+'ABRIL-15'!G13+'MAYO-15'!G13+'JUNIO-15'!G13+'JULIO-15'!G13+'AGOSTO-15'!G13+'SETIEMBRE-15'!G13+'OCTUBRE-15'!G13+'NOVIEMBRE-15'!G13+'DICIEMBRE 2015'!G13</f>
        <v>0</v>
      </c>
      <c r="H20" s="79">
        <f>+'ENERO-15'!H13+'FEBRERO-15'!H13+'MARZO-15'!H13+'ABRIL-15'!H13+'MAYO-15'!H13+'JUNIO-15'!H13+'JULIO-15'!H13+'AGOSTO-15'!H13+'SETIEMBRE-15'!H13+'OCTUBRE-15'!H13+'NOVIEMBRE-15'!H13+'DICIEMBRE 2015'!H13</f>
        <v>0</v>
      </c>
      <c r="I20" s="79">
        <f>+'ENERO-15'!I13+'FEBRERO-15'!I13+'MARZO-15'!I13+'ABRIL-15'!I13+'MAYO-15'!I13+'JUNIO-15'!I13+'JULIO-15'!I13+'AGOSTO-15'!I13+'SETIEMBRE-15'!I13+'OCTUBRE-15'!I13+'NOVIEMBRE-15'!I13+'DICIEMBRE 2015'!I13</f>
        <v>0</v>
      </c>
      <c r="J20" s="79">
        <f>+'ENERO-15'!J13+'FEBRERO-15'!J13+'MARZO-15'!J13+'ABRIL-15'!J13+'MAYO-15'!J13+'JUNIO-15'!J13+'JULIO-15'!J13+'AGOSTO-15'!J13+'SETIEMBRE-15'!J13+'OCTUBRE-15'!J13+'NOVIEMBRE-15'!J13+'DICIEMBRE 2015'!J13</f>
        <v>2014.3200000000002</v>
      </c>
      <c r="K20" s="79">
        <f>+'ENERO-15'!K13+'FEBRERO-15'!K13+'MARZO-15'!K13+'ABRIL-15'!K13+'MAYO-15'!K13+'JUNIO-15'!K13+'JULIO-15'!K13+'AGOSTO-15'!K13+'SETIEMBRE-15'!K13+'OCTUBRE-15'!K13+'NOVIEMBRE-15'!K13+'DICIEMBRE 2015'!K13</f>
        <v>880</v>
      </c>
      <c r="L20" s="79">
        <f>+'ENERO-15'!L13+'FEBRERO-15'!L13+'MARZO-15'!L13+'ABRIL-15'!L13+'MAYO-15'!L13+'JUNIO-15'!L13+'JULIO-15'!L13+'AGOSTO-15'!L13+'SETIEMBRE-15'!L13+'OCTUBRE-15'!L13+'NOVIEMBRE-15'!L13+'DICIEMBRE 2015'!L13</f>
        <v>0</v>
      </c>
      <c r="M20" s="79">
        <f>+'ENERO-15'!M13+'FEBRERO-15'!M13+'MARZO-15'!M13+'ABRIL-15'!M13+'MAYO-15'!M13+'JUNIO-15'!M13+'JULIO-15'!M13+'AGOSTO-15'!M13+'SETIEMBRE-15'!M13+'OCTUBRE-15'!M13+'NOVIEMBRE-15'!M13+'DICIEMBRE 2015'!M13</f>
        <v>1035</v>
      </c>
      <c r="N20" s="79">
        <f>+'ENERO-15'!N13+'FEBRERO-15'!N13+'MARZO-15'!N13+'ABRIL-15'!N13+'MAYO-15'!N13+'JUNIO-15'!N13+'JULIO-15'!N13+'AGOSTO-15'!N13+'SETIEMBRE-15'!N13+'OCTUBRE-15'!N13+'NOVIEMBRE-15'!N13+'DICIEMBRE 2015'!N13</f>
        <v>0</v>
      </c>
      <c r="O20" s="79">
        <f>+'ENERO-15'!O13+'FEBRERO-15'!O13+'MARZO-15'!O13+'ABRIL-15'!O13+'MAYO-15'!O13+'JUNIO-15'!O13+'JULIO-15'!O13+'AGOSTO-15'!O13+'SETIEMBRE-15'!O13+'OCTUBRE-15'!O13+'NOVIEMBRE-15'!O13+'DICIEMBRE 2015'!O13</f>
        <v>18115.96</v>
      </c>
      <c r="P20" s="79">
        <f>+'ENERO-15'!P13+'FEBRERO-15'!P13+'MARZO-15'!P13+'ABRIL-15'!P13+'MAYO-15'!P13+'JUNIO-15'!P13+'JULIO-15'!P13+'AGOSTO-15'!P13+'SETIEMBRE-15'!P13+'OCTUBRE-15'!P13+'NOVIEMBRE-15'!P13+'DICIEMBRE 2015'!P13</f>
        <v>15066.64</v>
      </c>
      <c r="Q20" s="79">
        <f>+'ENERO-15'!Q13+'FEBRERO-15'!Q13+'MARZO-15'!Q13+'ABRIL-15'!Q13+'MAYO-15'!Q13+'JUNIO-15'!Q13+'JULIO-15'!Q13+'AGOSTO-15'!Q13+'SETIEMBRE-15'!Q13+'OCTUBRE-15'!Q13+'NOVIEMBRE-15'!Q13+'DICIEMBRE 2015'!Q13</f>
        <v>1355.9975999999997</v>
      </c>
      <c r="R20" s="79">
        <f>+'ENERO-15'!R13+'FEBRERO-15'!R13+'MARZO-15'!R13+'ABRIL-15'!R13+'MAYO-15'!R13+'JUNIO-15'!R13+'JULIO-15'!R13+'AGOSTO-15'!R13+'SETIEMBRE-15'!R13+'OCTUBRE-15'!R13+'NOVIEMBRE-15'!R13+'DICIEMBRE 2015'!R13</f>
        <v>0</v>
      </c>
      <c r="S20" s="79">
        <f>+'ENERO-15'!S13+'FEBRERO-15'!S13+'MARZO-15'!S13+'ABRIL-15'!S13+'MAYO-15'!S13+'JUNIO-15'!S13+'JULIO-15'!S13+'AGOSTO-15'!S13+'SETIEMBRE-15'!S13+'OCTUBRE-15'!S13+'NOVIEMBRE-15'!S13+'DICIEMBRE 2015'!S13</f>
        <v>1355.9975999999997</v>
      </c>
    </row>
    <row r="21" spans="1:19" ht="13.5">
      <c r="A21" s="77">
        <v>3</v>
      </c>
      <c r="B21" s="78" t="s">
        <v>13</v>
      </c>
      <c r="C21" s="79">
        <f>+'ENERO-15'!C14+'FEBRERO-15'!C14+'MARZO-15'!C14+'ABRIL-15'!C14+'MAYO-15'!C14+'JUNIO-15'!C14+'JULIO-15'!C14+'AGOSTO-15'!C14+'SETIEMBRE-15'!C14+'OCTUBRE-15'!C14+'NOVIEMBRE-15'!C14+'DICIEMBRE 2015'!C14</f>
        <v>0</v>
      </c>
      <c r="D21" s="79">
        <f>+'ENERO-15'!D14+'FEBRERO-15'!D14+'MARZO-15'!D14+'ABRIL-15'!D14+'MAYO-15'!D14+'JUNIO-15'!D14+'JULIO-15'!D14+'AGOSTO-15'!D14+'SETIEMBRE-15'!D14+'OCTUBRE-15'!D14+'NOVIEMBRE-15'!D14+'DICIEMBRE 2015'!D14</f>
        <v>0</v>
      </c>
      <c r="E21" s="79">
        <f>+'ENERO-15'!E14+'FEBRERO-15'!E14+'MARZO-15'!E14+'ABRIL-15'!E14+'MAYO-15'!E14+'JUNIO-15'!E14+'JULIO-15'!E14+'AGOSTO-15'!E14+'SETIEMBRE-15'!E14+'OCTUBRE-15'!E14+'NOVIEMBRE-15'!E14+'DICIEMBRE 2015'!E14</f>
        <v>2250</v>
      </c>
      <c r="F21" s="79">
        <f>+'ENERO-15'!F14+'FEBRERO-15'!F14+'MARZO-15'!F14+'ABRIL-15'!F14+'MAYO-15'!F14+'JUNIO-15'!F14+'JULIO-15'!F14+'AGOSTO-15'!F14+'SETIEMBRE-15'!F14+'OCTUBRE-15'!F14+'NOVIEMBRE-15'!F14+'DICIEMBRE 2015'!F14</f>
        <v>304</v>
      </c>
      <c r="G21" s="79">
        <f>+'ENERO-15'!G14+'FEBRERO-15'!G14+'MARZO-15'!G14+'ABRIL-15'!G14+'MAYO-15'!G14+'JUNIO-15'!G14+'JULIO-15'!G14+'AGOSTO-15'!G14+'SETIEMBRE-15'!G14+'OCTUBRE-15'!G14+'NOVIEMBRE-15'!G14+'DICIEMBRE 2015'!G14</f>
        <v>0</v>
      </c>
      <c r="H21" s="79">
        <f>+'ENERO-15'!H14+'FEBRERO-15'!H14+'MARZO-15'!H14+'ABRIL-15'!H14+'MAYO-15'!H14+'JUNIO-15'!H14+'JULIO-15'!H14+'AGOSTO-15'!H14+'SETIEMBRE-15'!H14+'OCTUBRE-15'!H14+'NOVIEMBRE-15'!H14+'DICIEMBRE 2015'!H14</f>
        <v>0</v>
      </c>
      <c r="I21" s="79">
        <f>+'ENERO-15'!I14+'FEBRERO-15'!I14+'MARZO-15'!I14+'ABRIL-15'!I14+'MAYO-15'!I14+'JUNIO-15'!I14+'JULIO-15'!I14+'AGOSTO-15'!I14+'SETIEMBRE-15'!I14+'OCTUBRE-15'!I14+'NOVIEMBRE-15'!I14+'DICIEMBRE 2015'!I14</f>
        <v>0</v>
      </c>
      <c r="J21" s="79">
        <f>+'ENERO-15'!J14+'FEBRERO-15'!J14+'MARZO-15'!J14+'ABRIL-15'!J14+'MAYO-15'!J14+'JUNIO-15'!J14+'JULIO-15'!J14+'AGOSTO-15'!J14+'SETIEMBRE-15'!J14+'OCTUBRE-15'!J14+'NOVIEMBRE-15'!J14+'DICIEMBRE 2015'!J14</f>
        <v>0</v>
      </c>
      <c r="K21" s="79">
        <f>+'ENERO-15'!K14+'FEBRERO-15'!K14+'MARZO-15'!K14+'ABRIL-15'!K14+'MAYO-15'!K14+'JUNIO-15'!K14+'JULIO-15'!K14+'AGOSTO-15'!K14+'SETIEMBRE-15'!K14+'OCTUBRE-15'!K14+'NOVIEMBRE-15'!K14+'DICIEMBRE 2015'!K14</f>
        <v>0</v>
      </c>
      <c r="L21" s="79">
        <f>+'ENERO-15'!L14+'FEBRERO-15'!L14+'MARZO-15'!L14+'ABRIL-15'!L14+'MAYO-15'!L14+'JUNIO-15'!L14+'JULIO-15'!L14+'AGOSTO-15'!L14+'SETIEMBRE-15'!L14+'OCTUBRE-15'!L14+'NOVIEMBRE-15'!L14+'DICIEMBRE 2015'!L14</f>
        <v>0</v>
      </c>
      <c r="M21" s="79">
        <f>+'ENERO-15'!M14+'FEBRERO-15'!M14+'MARZO-15'!M14+'ABRIL-15'!M14+'MAYO-15'!M14+'JUNIO-15'!M14+'JULIO-15'!M14+'AGOSTO-15'!M14+'SETIEMBRE-15'!M14+'OCTUBRE-15'!M14+'NOVIEMBRE-15'!M14+'DICIEMBRE 2015'!M14</f>
        <v>0</v>
      </c>
      <c r="N21" s="79">
        <f>+'ENERO-15'!N14+'FEBRERO-15'!N14+'MARZO-15'!N14+'ABRIL-15'!N14+'MAYO-15'!N14+'JUNIO-15'!N14+'JULIO-15'!N14+'AGOSTO-15'!N14+'SETIEMBRE-15'!N14+'OCTUBRE-15'!N14+'NOVIEMBRE-15'!N14+'DICIEMBRE 2015'!N14</f>
        <v>0</v>
      </c>
      <c r="O21" s="79">
        <f>+'ENERO-15'!O14+'FEBRERO-15'!O14+'MARZO-15'!O14+'ABRIL-15'!O14+'MAYO-15'!O14+'JUNIO-15'!O14+'JULIO-15'!O14+'AGOSTO-15'!O14+'SETIEMBRE-15'!O14+'OCTUBRE-15'!O14+'NOVIEMBRE-15'!O14+'DICIEMBRE 2015'!O14</f>
        <v>2554</v>
      </c>
      <c r="P21" s="79">
        <f>+'ENERO-15'!P14+'FEBRERO-15'!P14+'MARZO-15'!P14+'ABRIL-15'!P14+'MAYO-15'!P14+'JUNIO-15'!P14+'JULIO-15'!P14+'AGOSTO-15'!P14+'SETIEMBRE-15'!P14+'OCTUBRE-15'!P14+'NOVIEMBRE-15'!P14+'DICIEMBRE 2015'!P14</f>
        <v>2554</v>
      </c>
      <c r="Q21" s="79">
        <f>+'ENERO-15'!Q14+'FEBRERO-15'!Q14+'MARZO-15'!Q14+'ABRIL-15'!Q14+'MAYO-15'!Q14+'JUNIO-15'!Q14+'JULIO-15'!Q14+'AGOSTO-15'!Q14+'SETIEMBRE-15'!Q14+'OCTUBRE-15'!Q14+'NOVIEMBRE-15'!Q14+'DICIEMBRE 2015'!Q14</f>
        <v>229.86</v>
      </c>
      <c r="R21" s="79">
        <f>+'ENERO-15'!R14+'FEBRERO-15'!R14+'MARZO-15'!R14+'ABRIL-15'!R14+'MAYO-15'!R14+'JUNIO-15'!R14+'JULIO-15'!R14+'AGOSTO-15'!R14+'SETIEMBRE-15'!R14+'OCTUBRE-15'!R14+'NOVIEMBRE-15'!R14+'DICIEMBRE 2015'!R14</f>
        <v>0</v>
      </c>
      <c r="S21" s="79">
        <f>+'ENERO-15'!S14+'FEBRERO-15'!S14+'MARZO-15'!S14+'ABRIL-15'!S14+'MAYO-15'!S14+'JUNIO-15'!S14+'JULIO-15'!S14+'AGOSTO-15'!S14+'SETIEMBRE-15'!S14+'OCTUBRE-15'!S14+'NOVIEMBRE-15'!S14+'DICIEMBRE 2015'!S14</f>
        <v>229.86</v>
      </c>
    </row>
    <row r="22" spans="1:19" ht="13.5">
      <c r="A22" s="77">
        <v>3</v>
      </c>
      <c r="B22" s="78" t="s">
        <v>14</v>
      </c>
      <c r="C22" s="79">
        <f>+'ENERO-15'!C15+'FEBRERO-15'!C15+'MARZO-15'!C15+'ABRIL-15'!C15+'MAYO-15'!C15+'JUNIO-15'!C15+'JULIO-15'!C15+'AGOSTO-15'!C15+'SETIEMBRE-15'!C15+'OCTUBRE-15'!C15+'NOVIEMBRE-15'!C15+'DICIEMBRE 2015'!C15</f>
        <v>0</v>
      </c>
      <c r="D22" s="79">
        <f>+'ENERO-15'!D15+'FEBRERO-15'!D15+'MARZO-15'!D15+'ABRIL-15'!D15+'MAYO-15'!D15+'JUNIO-15'!D15+'JULIO-15'!D15+'AGOSTO-15'!D15+'SETIEMBRE-15'!D15+'OCTUBRE-15'!D15+'NOVIEMBRE-15'!D15+'DICIEMBRE 2015'!D15</f>
        <v>0</v>
      </c>
      <c r="E22" s="79">
        <f>+'ENERO-15'!E15+'FEBRERO-15'!E15+'MARZO-15'!E15+'ABRIL-15'!E15+'MAYO-15'!E15+'JUNIO-15'!E15+'JULIO-15'!E15+'AGOSTO-15'!E15+'SETIEMBRE-15'!E15+'OCTUBRE-15'!E15+'NOVIEMBRE-15'!E15+'DICIEMBRE 2015'!E15</f>
        <v>7500</v>
      </c>
      <c r="F22" s="79">
        <f>+'ENERO-15'!F15+'FEBRERO-15'!F15+'MARZO-15'!F15+'ABRIL-15'!F15+'MAYO-15'!F15+'JUNIO-15'!F15+'JULIO-15'!F15+'AGOSTO-15'!F15+'SETIEMBRE-15'!F15+'OCTUBRE-15'!F15+'NOVIEMBRE-15'!F15+'DICIEMBRE 2015'!F15</f>
        <v>1674</v>
      </c>
      <c r="G22" s="79">
        <f>+'ENERO-15'!G15+'FEBRERO-15'!G15+'MARZO-15'!G15+'ABRIL-15'!G15+'MAYO-15'!G15+'JUNIO-15'!G15+'JULIO-15'!G15+'AGOSTO-15'!G15+'SETIEMBRE-15'!G15+'OCTUBRE-15'!G15+'NOVIEMBRE-15'!G15+'DICIEMBRE 2015'!G15</f>
        <v>0</v>
      </c>
      <c r="H22" s="79">
        <f>+'ENERO-15'!H15+'FEBRERO-15'!H15+'MARZO-15'!H15+'ABRIL-15'!H15+'MAYO-15'!H15+'JUNIO-15'!H15+'JULIO-15'!H15+'AGOSTO-15'!H15+'SETIEMBRE-15'!H15+'OCTUBRE-15'!H15+'NOVIEMBRE-15'!H15+'DICIEMBRE 2015'!H15</f>
        <v>0</v>
      </c>
      <c r="I22" s="79">
        <f>+'ENERO-15'!I15+'FEBRERO-15'!I15+'MARZO-15'!I15+'ABRIL-15'!I15+'MAYO-15'!I15+'JUNIO-15'!I15+'JULIO-15'!I15+'AGOSTO-15'!I15+'SETIEMBRE-15'!I15+'OCTUBRE-15'!I15+'NOVIEMBRE-15'!I15+'DICIEMBRE 2015'!I15</f>
        <v>0</v>
      </c>
      <c r="J22" s="79">
        <f>+'ENERO-15'!J15+'FEBRERO-15'!J15+'MARZO-15'!J15+'ABRIL-15'!J15+'MAYO-15'!J15+'JUNIO-15'!J15+'JULIO-15'!J15+'AGOSTO-15'!J15+'SETIEMBRE-15'!J15+'OCTUBRE-15'!J15+'NOVIEMBRE-15'!J15+'DICIEMBRE 2015'!J15</f>
        <v>1117.25</v>
      </c>
      <c r="K22" s="79">
        <f>+'ENERO-15'!K15+'FEBRERO-15'!K15+'MARZO-15'!K15+'ABRIL-15'!K15+'MAYO-15'!K15+'JUNIO-15'!K15+'JULIO-15'!K15+'AGOSTO-15'!K15+'SETIEMBRE-15'!K15+'OCTUBRE-15'!K15+'NOVIEMBRE-15'!K15+'DICIEMBRE 2015'!K15</f>
        <v>0</v>
      </c>
      <c r="L22" s="79">
        <f>+'ENERO-15'!L15+'FEBRERO-15'!L15+'MARZO-15'!L15+'ABRIL-15'!L15+'MAYO-15'!L15+'JUNIO-15'!L15+'JULIO-15'!L15+'AGOSTO-15'!L15+'SETIEMBRE-15'!L15+'OCTUBRE-15'!L15+'NOVIEMBRE-15'!L15+'DICIEMBRE 2015'!L15</f>
        <v>0</v>
      </c>
      <c r="M22" s="79">
        <f>+'ENERO-15'!M15+'FEBRERO-15'!M15+'MARZO-15'!M15+'ABRIL-15'!M15+'MAYO-15'!M15+'JUNIO-15'!M15+'JULIO-15'!M15+'AGOSTO-15'!M15+'SETIEMBRE-15'!M15+'OCTUBRE-15'!M15+'NOVIEMBRE-15'!M15+'DICIEMBRE 2015'!M15</f>
        <v>34.5</v>
      </c>
      <c r="N22" s="79">
        <f>+'ENERO-15'!N15+'FEBRERO-15'!N15+'MARZO-15'!N15+'ABRIL-15'!N15+'MAYO-15'!N15+'JUNIO-15'!N15+'JULIO-15'!N15+'AGOSTO-15'!N15+'SETIEMBRE-15'!N15+'OCTUBRE-15'!N15+'NOVIEMBRE-15'!N15+'DICIEMBRE 2015'!N15</f>
        <v>0</v>
      </c>
      <c r="O22" s="79">
        <f>+'ENERO-15'!O15+'FEBRERO-15'!O15+'MARZO-15'!O15+'ABRIL-15'!O15+'MAYO-15'!O15+'JUNIO-15'!O15+'JULIO-15'!O15+'AGOSTO-15'!O15+'SETIEMBRE-15'!O15+'OCTUBRE-15'!O15+'NOVIEMBRE-15'!O15+'DICIEMBRE 2015'!O15</f>
        <v>10325.75</v>
      </c>
      <c r="P22" s="79">
        <f>+'ENERO-15'!P15+'FEBRERO-15'!P15+'MARZO-15'!P15+'ABRIL-15'!P15+'MAYO-15'!P15+'JUNIO-15'!P15+'JULIO-15'!P15+'AGOSTO-15'!P15+'SETIEMBRE-15'!P15+'OCTUBRE-15'!P15+'NOVIEMBRE-15'!P15+'DICIEMBRE 2015'!P15</f>
        <v>9174</v>
      </c>
      <c r="Q22" s="79">
        <f>+'ENERO-15'!Q15+'FEBRERO-15'!Q15+'MARZO-15'!Q15+'ABRIL-15'!Q15+'MAYO-15'!Q15+'JUNIO-15'!Q15+'JULIO-15'!Q15+'AGOSTO-15'!Q15+'SETIEMBRE-15'!Q15+'OCTUBRE-15'!Q15+'NOVIEMBRE-15'!Q15+'DICIEMBRE 2015'!Q15</f>
        <v>825.66</v>
      </c>
      <c r="R22" s="79">
        <f>+'ENERO-15'!R15+'FEBRERO-15'!R15+'MARZO-15'!R15+'ABRIL-15'!R15+'MAYO-15'!R15+'JUNIO-15'!R15+'JULIO-15'!R15+'AGOSTO-15'!R15+'SETIEMBRE-15'!R15+'OCTUBRE-15'!R15+'NOVIEMBRE-15'!R15+'DICIEMBRE 2015'!R15</f>
        <v>0</v>
      </c>
      <c r="S22" s="79">
        <f>+'ENERO-15'!S15+'FEBRERO-15'!S15+'MARZO-15'!S15+'ABRIL-15'!S15+'MAYO-15'!S15+'JUNIO-15'!S15+'JULIO-15'!S15+'AGOSTO-15'!S15+'SETIEMBRE-15'!S15+'OCTUBRE-15'!S15+'NOVIEMBRE-15'!S15+'DICIEMBRE 2015'!S15</f>
        <v>825.66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</sheetData>
  <sheetProtection/>
  <mergeCells count="8">
    <mergeCell ref="P5:P6"/>
    <mergeCell ref="Q5:S5"/>
    <mergeCell ref="A4:B4"/>
    <mergeCell ref="A5:B6"/>
    <mergeCell ref="C5:C6"/>
    <mergeCell ref="D5:D6"/>
    <mergeCell ref="E5:N5"/>
    <mergeCell ref="O5:O6"/>
  </mergeCells>
  <printOptions/>
  <pageMargins left="0.9055118110236221" right="0.7086614173228347" top="0.984251968503937" bottom="0.984251968503937" header="0.31496062992125984" footer="0.31496062992125984"/>
  <pageSetup horizontalDpi="600" verticalDpi="6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I6" sqref="I6"/>
    </sheetView>
  </sheetViews>
  <sheetFormatPr defaultColWidth="11.421875" defaultRowHeight="12.75"/>
  <cols>
    <col min="1" max="1" width="3.7109375" style="0" customWidth="1"/>
    <col min="2" max="2" width="28.7109375" style="0" customWidth="1"/>
    <col min="3" max="4" width="3.7109375" style="0" customWidth="1"/>
    <col min="5" max="7" width="10.7109375" style="0" customWidth="1"/>
    <col min="8" max="8" width="8.7109375" style="0" customWidth="1"/>
    <col min="9" max="9" width="6.7109375" style="0" customWidth="1"/>
    <col min="10" max="10" width="5.7109375" style="0" customWidth="1"/>
    <col min="11" max="11" width="9.7109375" style="0" customWidth="1"/>
    <col min="12" max="12" width="6.7109375" style="0" customWidth="1"/>
    <col min="13" max="13" width="8.7109375" style="0" customWidth="1"/>
    <col min="14" max="14" width="9.7109375" style="0" customWidth="1"/>
    <col min="15" max="16" width="10.7109375" style="0" customWidth="1"/>
    <col min="17" max="17" width="9.7109375" style="0" customWidth="1"/>
    <col min="18" max="18" width="6.7109375" style="0" customWidth="1"/>
    <col min="19" max="19" width="9.7109375" style="0" customWidth="1"/>
    <col min="20" max="20" width="10.7109375" style="0" customWidth="1"/>
    <col min="21" max="21" width="8.7109375" style="0" customWidth="1"/>
    <col min="22" max="22" width="9.7109375" style="0" customWidth="1"/>
  </cols>
  <sheetData>
    <row r="1" spans="1:22" s="11" customFormat="1" ht="15" customHeight="1" thickBot="1">
      <c r="A1" s="45">
        <v>1</v>
      </c>
      <c r="B1" s="46" t="s">
        <v>17</v>
      </c>
      <c r="C1" s="47">
        <v>52</v>
      </c>
      <c r="D1" s="48"/>
      <c r="E1" s="49">
        <v>2500</v>
      </c>
      <c r="F1" s="50"/>
      <c r="G1" s="50"/>
      <c r="H1" s="50"/>
      <c r="I1" s="50"/>
      <c r="J1" s="50"/>
      <c r="K1" s="50"/>
      <c r="L1" s="50"/>
      <c r="M1" s="50"/>
      <c r="N1" s="50"/>
      <c r="O1" s="16">
        <f aca="true" t="shared" si="0" ref="O1:O8">SUM(E1:N1)</f>
        <v>2500</v>
      </c>
      <c r="P1" s="16">
        <f aca="true" t="shared" si="1" ref="P1:P8">O1-M1-J1</f>
        <v>2500</v>
      </c>
      <c r="Q1" s="17">
        <f aca="true" t="shared" si="2" ref="Q1:Q8">P1*9%</f>
        <v>225</v>
      </c>
      <c r="R1" s="17"/>
      <c r="S1" s="17">
        <f aca="true" t="shared" si="3" ref="S1:S8">Q1+R1</f>
        <v>225</v>
      </c>
      <c r="T1" s="16">
        <f aca="true" t="shared" si="4" ref="T1:T8">P1+S1</f>
        <v>2725</v>
      </c>
      <c r="U1" s="18" t="s">
        <v>8</v>
      </c>
      <c r="V1" s="17">
        <f>+P1*13.02%</f>
        <v>325.49999999999994</v>
      </c>
    </row>
    <row r="2" spans="1:22" s="11" customFormat="1" ht="15" customHeight="1" thickBot="1">
      <c r="A2" s="51">
        <v>1</v>
      </c>
      <c r="B2" s="52" t="s">
        <v>1</v>
      </c>
      <c r="C2" s="53">
        <v>58</v>
      </c>
      <c r="D2" s="54">
        <v>5</v>
      </c>
      <c r="E2" s="55">
        <v>1789</v>
      </c>
      <c r="F2" s="56">
        <f>75+300</f>
        <v>375</v>
      </c>
      <c r="G2" s="56"/>
      <c r="H2" s="56"/>
      <c r="I2" s="56">
        <v>16.76</v>
      </c>
      <c r="J2" s="56"/>
      <c r="K2" s="56">
        <v>1880.76</v>
      </c>
      <c r="L2" s="56"/>
      <c r="M2" s="56"/>
      <c r="N2" s="56"/>
      <c r="O2" s="16">
        <f t="shared" si="0"/>
        <v>4061.5200000000004</v>
      </c>
      <c r="P2" s="16">
        <f t="shared" si="1"/>
        <v>4061.5200000000004</v>
      </c>
      <c r="Q2" s="17">
        <f t="shared" si="2"/>
        <v>365.5368</v>
      </c>
      <c r="R2" s="17"/>
      <c r="S2" s="17">
        <f t="shared" si="3"/>
        <v>365.5368</v>
      </c>
      <c r="T2" s="16">
        <f t="shared" si="4"/>
        <v>4427.0568</v>
      </c>
      <c r="U2" s="18" t="s">
        <v>6</v>
      </c>
      <c r="V2" s="17">
        <f>+P2*12.88%</f>
        <v>523.123776</v>
      </c>
    </row>
    <row r="3" spans="1:22" s="11" customFormat="1" ht="15" customHeight="1">
      <c r="A3" s="19">
        <v>1</v>
      </c>
      <c r="B3" s="20" t="s">
        <v>4</v>
      </c>
      <c r="C3" s="21">
        <v>21</v>
      </c>
      <c r="D3" s="22"/>
      <c r="E3" s="23">
        <v>1666</v>
      </c>
      <c r="F3" s="24">
        <f>92+250</f>
        <v>342</v>
      </c>
      <c r="G3" s="24"/>
      <c r="H3" s="24"/>
      <c r="I3" s="24"/>
      <c r="J3" s="24"/>
      <c r="K3" s="24"/>
      <c r="L3" s="24"/>
      <c r="M3" s="24">
        <v>73.6</v>
      </c>
      <c r="N3" s="24"/>
      <c r="O3" s="16">
        <f t="shared" si="0"/>
        <v>2081.6</v>
      </c>
      <c r="P3" s="16">
        <f t="shared" si="1"/>
        <v>2008</v>
      </c>
      <c r="Q3" s="17">
        <f t="shared" si="2"/>
        <v>180.72</v>
      </c>
      <c r="R3" s="17"/>
      <c r="S3" s="17">
        <f t="shared" si="3"/>
        <v>180.72</v>
      </c>
      <c r="T3" s="16">
        <f t="shared" si="4"/>
        <v>2188.72</v>
      </c>
      <c r="U3" s="18" t="s">
        <v>8</v>
      </c>
      <c r="V3" s="17">
        <f>+P3*13.02%</f>
        <v>261.44159999999994</v>
      </c>
    </row>
    <row r="4" spans="1:22" s="11" customFormat="1" ht="15" customHeight="1">
      <c r="A4" s="12">
        <v>1</v>
      </c>
      <c r="B4" s="13" t="s">
        <v>18</v>
      </c>
      <c r="C4" s="14">
        <v>42</v>
      </c>
      <c r="D4" s="15">
        <v>5</v>
      </c>
      <c r="E4" s="16">
        <v>1782</v>
      </c>
      <c r="F4" s="17">
        <f>32+300</f>
        <v>332</v>
      </c>
      <c r="G4" s="17"/>
      <c r="H4" s="17"/>
      <c r="I4" s="17">
        <v>22.84</v>
      </c>
      <c r="J4" s="17"/>
      <c r="K4" s="17"/>
      <c r="L4" s="17"/>
      <c r="M4" s="17"/>
      <c r="N4" s="17"/>
      <c r="O4" s="16">
        <f t="shared" si="0"/>
        <v>2136.84</v>
      </c>
      <c r="P4" s="16">
        <f t="shared" si="1"/>
        <v>2136.84</v>
      </c>
      <c r="Q4" s="17">
        <f t="shared" si="2"/>
        <v>192.31560000000002</v>
      </c>
      <c r="R4" s="17"/>
      <c r="S4" s="17">
        <f t="shared" si="3"/>
        <v>192.31560000000002</v>
      </c>
      <c r="T4" s="16">
        <f t="shared" si="4"/>
        <v>2329.1556</v>
      </c>
      <c r="U4" s="18" t="s">
        <v>8</v>
      </c>
      <c r="V4" s="17"/>
    </row>
    <row r="5" spans="1:22" s="11" customFormat="1" ht="15" customHeight="1">
      <c r="A5" s="12">
        <v>2</v>
      </c>
      <c r="B5" s="13" t="s">
        <v>5</v>
      </c>
      <c r="C5" s="14">
        <v>27</v>
      </c>
      <c r="D5" s="15"/>
      <c r="E5" s="16">
        <v>1666</v>
      </c>
      <c r="F5" s="17">
        <f>75+200</f>
        <v>275</v>
      </c>
      <c r="G5" s="17"/>
      <c r="H5" s="17"/>
      <c r="I5" s="17"/>
      <c r="J5" s="17"/>
      <c r="K5" s="17"/>
      <c r="L5" s="17"/>
      <c r="M5" s="17"/>
      <c r="N5" s="17"/>
      <c r="O5" s="16">
        <f t="shared" si="0"/>
        <v>1941</v>
      </c>
      <c r="P5" s="16">
        <f t="shared" si="1"/>
        <v>1941</v>
      </c>
      <c r="Q5" s="17">
        <f t="shared" si="2"/>
        <v>174.69</v>
      </c>
      <c r="R5" s="17"/>
      <c r="S5" s="17">
        <f t="shared" si="3"/>
        <v>174.69</v>
      </c>
      <c r="T5" s="16">
        <f t="shared" si="4"/>
        <v>2115.69</v>
      </c>
      <c r="U5" s="18" t="s">
        <v>8</v>
      </c>
      <c r="V5" s="17">
        <f>+P5*13.02%</f>
        <v>252.71819999999997</v>
      </c>
    </row>
    <row r="6" spans="1:22" s="11" customFormat="1" ht="15" customHeight="1">
      <c r="A6" s="12">
        <v>2</v>
      </c>
      <c r="B6" s="13" t="s">
        <v>0</v>
      </c>
      <c r="C6" s="14">
        <v>73</v>
      </c>
      <c r="D6" s="15">
        <v>5</v>
      </c>
      <c r="E6" s="16">
        <v>1748</v>
      </c>
      <c r="F6" s="17">
        <f>75+96+125.7+188.55+62.85+300</f>
        <v>848.1</v>
      </c>
      <c r="G6" s="17"/>
      <c r="H6" s="17">
        <v>47.26</v>
      </c>
      <c r="I6" s="17">
        <v>15.28</v>
      </c>
      <c r="J6" s="17"/>
      <c r="K6" s="17"/>
      <c r="L6" s="17"/>
      <c r="M6" s="17">
        <v>92</v>
      </c>
      <c r="N6" s="17"/>
      <c r="O6" s="16">
        <f t="shared" si="0"/>
        <v>2750.6400000000003</v>
      </c>
      <c r="P6" s="16">
        <f t="shared" si="1"/>
        <v>2658.6400000000003</v>
      </c>
      <c r="Q6" s="17">
        <f t="shared" si="2"/>
        <v>239.2776</v>
      </c>
      <c r="R6" s="17"/>
      <c r="S6" s="17">
        <f t="shared" si="3"/>
        <v>239.2776</v>
      </c>
      <c r="T6" s="16">
        <f t="shared" si="4"/>
        <v>2897.9176</v>
      </c>
      <c r="U6" s="18" t="s">
        <v>6</v>
      </c>
      <c r="V6" s="17">
        <f>+P6*12.88%</f>
        <v>342.432832</v>
      </c>
    </row>
    <row r="7" spans="1:22" s="11" customFormat="1" ht="15" customHeight="1">
      <c r="A7" s="12">
        <v>3</v>
      </c>
      <c r="B7" s="13" t="s">
        <v>19</v>
      </c>
      <c r="C7" s="14">
        <v>46</v>
      </c>
      <c r="D7" s="15">
        <v>5</v>
      </c>
      <c r="E7" s="16">
        <v>1727</v>
      </c>
      <c r="F7" s="17">
        <f>75+80+120.13+180.2+60.07+150</f>
        <v>665.4</v>
      </c>
      <c r="G7" s="17"/>
      <c r="H7" s="17"/>
      <c r="I7" s="17"/>
      <c r="J7" s="17"/>
      <c r="K7" s="17"/>
      <c r="L7" s="17"/>
      <c r="M7" s="17">
        <v>80.5</v>
      </c>
      <c r="N7" s="17"/>
      <c r="O7" s="16">
        <f t="shared" si="0"/>
        <v>2472.9</v>
      </c>
      <c r="P7" s="16">
        <f t="shared" si="1"/>
        <v>2392.4</v>
      </c>
      <c r="Q7" s="17">
        <f t="shared" si="2"/>
        <v>215.316</v>
      </c>
      <c r="R7" s="17"/>
      <c r="S7" s="17">
        <f t="shared" si="3"/>
        <v>215.316</v>
      </c>
      <c r="T7" s="16">
        <f t="shared" si="4"/>
        <v>2607.716</v>
      </c>
      <c r="U7" s="18" t="s">
        <v>6</v>
      </c>
      <c r="V7" s="17">
        <f>+P7*12.88%</f>
        <v>308.14112</v>
      </c>
    </row>
    <row r="8" spans="1:22" s="11" customFormat="1" ht="15" customHeight="1" thickBot="1">
      <c r="A8" s="45">
        <v>3</v>
      </c>
      <c r="B8" s="46" t="s">
        <v>2</v>
      </c>
      <c r="C8" s="47">
        <v>73</v>
      </c>
      <c r="D8" s="48">
        <v>5</v>
      </c>
      <c r="E8" s="49">
        <v>1782</v>
      </c>
      <c r="F8" s="50">
        <f>75+92+192.36+300</f>
        <v>659.36</v>
      </c>
      <c r="G8" s="50"/>
      <c r="H8" s="50">
        <v>50.33</v>
      </c>
      <c r="I8" s="50">
        <v>16.27</v>
      </c>
      <c r="J8" s="50"/>
      <c r="K8" s="50"/>
      <c r="L8" s="50"/>
      <c r="M8" s="50">
        <v>80.5</v>
      </c>
      <c r="N8" s="50"/>
      <c r="O8" s="16">
        <f t="shared" si="0"/>
        <v>2588.46</v>
      </c>
      <c r="P8" s="16">
        <f t="shared" si="1"/>
        <v>2507.96</v>
      </c>
      <c r="Q8" s="17">
        <f t="shared" si="2"/>
        <v>225.7164</v>
      </c>
      <c r="R8" s="17"/>
      <c r="S8" s="17">
        <f t="shared" si="3"/>
        <v>225.7164</v>
      </c>
      <c r="T8" s="16">
        <f t="shared" si="4"/>
        <v>2733.6764</v>
      </c>
      <c r="U8" s="18" t="s">
        <v>6</v>
      </c>
      <c r="V8" s="17">
        <f>+P8*12.88%</f>
        <v>323.025248</v>
      </c>
    </row>
    <row r="9" spans="1:22" s="11" customFormat="1" ht="15" customHeight="1">
      <c r="A9" s="19">
        <v>1</v>
      </c>
      <c r="B9" s="20" t="s">
        <v>26</v>
      </c>
      <c r="C9" s="21"/>
      <c r="D9" s="22"/>
      <c r="E9" s="23"/>
      <c r="F9" s="24"/>
      <c r="G9" s="24"/>
      <c r="H9" s="24"/>
      <c r="I9" s="24"/>
      <c r="J9" s="24"/>
      <c r="K9" s="24"/>
      <c r="L9" s="24"/>
      <c r="M9" s="24"/>
      <c r="N9" s="24"/>
      <c r="O9" s="16"/>
      <c r="P9" s="16"/>
      <c r="Q9" s="17"/>
      <c r="R9" s="17"/>
      <c r="S9" s="17"/>
      <c r="T9" s="16"/>
      <c r="U9" s="18"/>
      <c r="V9" s="17"/>
    </row>
    <row r="10" spans="1:22" s="11" customFormat="1" ht="15" customHeight="1">
      <c r="A10" s="19">
        <v>1</v>
      </c>
      <c r="B10" s="20" t="s">
        <v>20</v>
      </c>
      <c r="C10" s="21"/>
      <c r="D10" s="22"/>
      <c r="E10" s="23">
        <v>900</v>
      </c>
      <c r="F10" s="24"/>
      <c r="G10" s="24"/>
      <c r="H10" s="24"/>
      <c r="I10" s="24"/>
      <c r="J10" s="24"/>
      <c r="K10" s="24"/>
      <c r="L10" s="24"/>
      <c r="M10" s="24"/>
      <c r="N10" s="24"/>
      <c r="O10" s="16">
        <f aca="true" t="shared" si="5" ref="O10:O15">SUM(E10:N10)</f>
        <v>900</v>
      </c>
      <c r="P10" s="16">
        <f aca="true" t="shared" si="6" ref="P10:P15">O10-M10-J10</f>
        <v>900</v>
      </c>
      <c r="Q10" s="17">
        <f aca="true" t="shared" si="7" ref="Q10:Q15">P10*9%</f>
        <v>81</v>
      </c>
      <c r="R10" s="17"/>
      <c r="S10" s="17">
        <f aca="true" t="shared" si="8" ref="S10:S15">Q10+R10</f>
        <v>81</v>
      </c>
      <c r="T10" s="16">
        <f aca="true" t="shared" si="9" ref="T10:T15">P10+S10</f>
        <v>981</v>
      </c>
      <c r="U10" s="18" t="s">
        <v>10</v>
      </c>
      <c r="V10" s="17">
        <f>+P10*13%</f>
        <v>117</v>
      </c>
    </row>
    <row r="11" spans="1:22" s="11" customFormat="1" ht="15" customHeight="1" thickBot="1">
      <c r="A11" s="45">
        <v>2</v>
      </c>
      <c r="B11" s="46" t="s">
        <v>15</v>
      </c>
      <c r="C11" s="47"/>
      <c r="D11" s="48"/>
      <c r="E11" s="49">
        <v>1000</v>
      </c>
      <c r="F11" s="50">
        <v>150</v>
      </c>
      <c r="G11" s="50"/>
      <c r="H11" s="50"/>
      <c r="I11" s="50"/>
      <c r="J11" s="50"/>
      <c r="K11" s="50"/>
      <c r="L11" s="50"/>
      <c r="M11" s="50"/>
      <c r="N11" s="50"/>
      <c r="O11" s="16">
        <f t="shared" si="5"/>
        <v>1150</v>
      </c>
      <c r="P11" s="16">
        <f t="shared" si="6"/>
        <v>1150</v>
      </c>
      <c r="Q11" s="17">
        <f t="shared" si="7"/>
        <v>103.5</v>
      </c>
      <c r="R11" s="17"/>
      <c r="S11" s="17">
        <f t="shared" si="8"/>
        <v>103.5</v>
      </c>
      <c r="T11" s="16">
        <f t="shared" si="9"/>
        <v>1253.5</v>
      </c>
      <c r="U11" s="18" t="s">
        <v>10</v>
      </c>
      <c r="V11" s="17">
        <f>+P11*13%</f>
        <v>149.5</v>
      </c>
    </row>
    <row r="12" spans="1:22" s="11" customFormat="1" ht="15" customHeight="1">
      <c r="A12" s="19">
        <v>1</v>
      </c>
      <c r="B12" s="20" t="s">
        <v>21</v>
      </c>
      <c r="C12" s="21"/>
      <c r="D12" s="22"/>
      <c r="E12" s="23">
        <v>750</v>
      </c>
      <c r="F12" s="24">
        <f>75+80</f>
        <v>155</v>
      </c>
      <c r="G12" s="24"/>
      <c r="H12" s="24"/>
      <c r="I12" s="24"/>
      <c r="J12" s="24"/>
      <c r="K12" s="24"/>
      <c r="L12" s="24"/>
      <c r="M12" s="24"/>
      <c r="N12" s="24"/>
      <c r="O12" s="16">
        <f t="shared" si="5"/>
        <v>905</v>
      </c>
      <c r="P12" s="16">
        <f t="shared" si="6"/>
        <v>905</v>
      </c>
      <c r="Q12" s="17">
        <f t="shared" si="7"/>
        <v>81.45</v>
      </c>
      <c r="R12" s="17"/>
      <c r="S12" s="17">
        <f t="shared" si="8"/>
        <v>81.45</v>
      </c>
      <c r="T12" s="16">
        <f t="shared" si="9"/>
        <v>986.45</v>
      </c>
      <c r="U12" s="18" t="s">
        <v>10</v>
      </c>
      <c r="V12" s="17">
        <f>+P12*13%</f>
        <v>117.65</v>
      </c>
    </row>
    <row r="13" spans="1:22" s="11" customFormat="1" ht="15" customHeight="1">
      <c r="A13" s="12">
        <v>2</v>
      </c>
      <c r="B13" s="13" t="s">
        <v>22</v>
      </c>
      <c r="C13" s="14"/>
      <c r="D13" s="15">
        <v>5</v>
      </c>
      <c r="E13" s="16">
        <v>880</v>
      </c>
      <c r="F13" s="17">
        <f>88+58.67+88+29.33</f>
        <v>264</v>
      </c>
      <c r="G13" s="17"/>
      <c r="H13" s="17"/>
      <c r="I13" s="17"/>
      <c r="J13" s="17"/>
      <c r="K13" s="17"/>
      <c r="L13" s="17"/>
      <c r="M13" s="17">
        <v>92</v>
      </c>
      <c r="N13" s="17"/>
      <c r="O13" s="16">
        <f t="shared" si="5"/>
        <v>1236</v>
      </c>
      <c r="P13" s="16">
        <f t="shared" si="6"/>
        <v>1144</v>
      </c>
      <c r="Q13" s="17">
        <f t="shared" si="7"/>
        <v>102.96</v>
      </c>
      <c r="R13" s="17"/>
      <c r="S13" s="17">
        <f t="shared" si="8"/>
        <v>102.96</v>
      </c>
      <c r="T13" s="16">
        <f t="shared" si="9"/>
        <v>1246.96</v>
      </c>
      <c r="U13" s="18" t="s">
        <v>8</v>
      </c>
      <c r="V13" s="17">
        <f>+P13*13.02%</f>
        <v>148.94879999999998</v>
      </c>
    </row>
    <row r="14" spans="1:22" s="11" customFormat="1" ht="15" customHeight="1">
      <c r="A14" s="12">
        <v>3</v>
      </c>
      <c r="B14" s="13" t="s">
        <v>13</v>
      </c>
      <c r="C14" s="14"/>
      <c r="D14" s="15"/>
      <c r="E14" s="16">
        <v>750</v>
      </c>
      <c r="F14" s="17">
        <v>52</v>
      </c>
      <c r="G14" s="17"/>
      <c r="H14" s="17"/>
      <c r="I14" s="17"/>
      <c r="J14" s="17"/>
      <c r="K14" s="17"/>
      <c r="L14" s="17"/>
      <c r="M14" s="17"/>
      <c r="N14" s="17"/>
      <c r="O14" s="16">
        <f t="shared" si="5"/>
        <v>802</v>
      </c>
      <c r="P14" s="16">
        <f t="shared" si="6"/>
        <v>802</v>
      </c>
      <c r="Q14" s="17">
        <f t="shared" si="7"/>
        <v>72.17999999999999</v>
      </c>
      <c r="R14" s="17"/>
      <c r="S14" s="17">
        <f t="shared" si="8"/>
        <v>72.17999999999999</v>
      </c>
      <c r="T14" s="16">
        <f t="shared" si="9"/>
        <v>874.18</v>
      </c>
      <c r="U14" s="18" t="s">
        <v>10</v>
      </c>
      <c r="V14" s="17">
        <f>+P14*13%</f>
        <v>104.26</v>
      </c>
    </row>
    <row r="15" spans="1:22" s="11" customFormat="1" ht="15" customHeight="1">
      <c r="A15" s="12">
        <v>4</v>
      </c>
      <c r="B15" s="13" t="s">
        <v>14</v>
      </c>
      <c r="C15" s="14"/>
      <c r="D15" s="15"/>
      <c r="E15" s="16">
        <v>750</v>
      </c>
      <c r="F15" s="17">
        <f>75+64</f>
        <v>139</v>
      </c>
      <c r="G15" s="17"/>
      <c r="H15" s="17"/>
      <c r="I15" s="17"/>
      <c r="J15" s="17"/>
      <c r="K15" s="17"/>
      <c r="L15" s="17"/>
      <c r="M15" s="17">
        <v>11.5</v>
      </c>
      <c r="N15" s="17"/>
      <c r="O15" s="16">
        <f t="shared" si="5"/>
        <v>900.5</v>
      </c>
      <c r="P15" s="16">
        <f t="shared" si="6"/>
        <v>889</v>
      </c>
      <c r="Q15" s="17">
        <f t="shared" si="7"/>
        <v>80.00999999999999</v>
      </c>
      <c r="R15" s="17"/>
      <c r="S15" s="17">
        <f t="shared" si="8"/>
        <v>80.00999999999999</v>
      </c>
      <c r="T15" s="16">
        <f t="shared" si="9"/>
        <v>969.01</v>
      </c>
      <c r="U15" s="18" t="s">
        <v>10</v>
      </c>
      <c r="V15" s="17">
        <f>+P15*13%</f>
        <v>115.57000000000001</v>
      </c>
    </row>
    <row r="16" s="9" customFormat="1" ht="12.75"/>
    <row r="17" s="9" customFormat="1" ht="12.75"/>
    <row r="18" s="9" customFormat="1" ht="12.75"/>
    <row r="19" s="9" customFormat="1" ht="12.75"/>
    <row r="20" s="9" customFormat="1" ht="12.75"/>
    <row r="21" s="9" customFormat="1" ht="12.75"/>
    <row r="22" s="9" customFormat="1" ht="12.75"/>
    <row r="23" s="9" customFormat="1" ht="12.75"/>
    <row r="24" s="9" customFormat="1" ht="12.75"/>
    <row r="25" s="9" customFormat="1" ht="12.75"/>
    <row r="26" s="9" customFormat="1" ht="12.75"/>
    <row r="27" s="9" customFormat="1" ht="12.75"/>
    <row r="28" s="9" customFormat="1" ht="12.75"/>
    <row r="29" s="9" customFormat="1" ht="12.75"/>
    <row r="30" s="9" customFormat="1" ht="12.75"/>
    <row r="31" s="9" customFormat="1" ht="12.75"/>
    <row r="32" s="9" customFormat="1" ht="12.75"/>
    <row r="33" s="9" customFormat="1" ht="12.75"/>
    <row r="34" s="9" customFormat="1" ht="12.75"/>
    <row r="35" s="9" customFormat="1" ht="12.75"/>
    <row r="36" s="9" customFormat="1" ht="12.75"/>
    <row r="37" s="9" customFormat="1" ht="12.75"/>
    <row r="38" s="9" customFormat="1" ht="12.75"/>
    <row r="39" s="9" customFormat="1" ht="12.75"/>
    <row r="40" s="9" customFormat="1" ht="12.75"/>
    <row r="41" s="9" customFormat="1" ht="12.75"/>
    <row r="42" s="9" customFormat="1" ht="12.75"/>
    <row r="43" s="9" customFormat="1" ht="12.75"/>
    <row r="44" s="9" customFormat="1" ht="12.75"/>
    <row r="45" s="9" customFormat="1" ht="12.75"/>
    <row r="46" s="9" customFormat="1" ht="12.75"/>
    <row r="47" s="9" customFormat="1" ht="12.75"/>
    <row r="48" s="9" customFormat="1" ht="12.75"/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</sheetData>
  <sheetProtection/>
  <printOptions/>
  <pageMargins left="0.2362204724409449" right="0.2362204724409449" top="0.45" bottom="0.54" header="0.2362204724409449" footer="0.2755905511811024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A9" sqref="A9:B9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4" width="3.7109375" style="0" customWidth="1"/>
    <col min="5" max="5" width="9.421875" style="0" customWidth="1"/>
    <col min="6" max="6" width="8.57421875" style="0" customWidth="1"/>
    <col min="7" max="7" width="7.28125" style="0" customWidth="1"/>
    <col min="8" max="8" width="6.421875" style="0" customWidth="1"/>
    <col min="9" max="9" width="6.00390625" style="0" customWidth="1"/>
    <col min="10" max="10" width="5.7109375" style="0" customWidth="1"/>
    <col min="11" max="11" width="8.421875" style="0" customWidth="1"/>
    <col min="12" max="12" width="6.7109375" style="0" customWidth="1"/>
    <col min="13" max="13" width="7.00390625" style="0" customWidth="1"/>
    <col min="14" max="14" width="6.140625" style="0" customWidth="1"/>
    <col min="15" max="16" width="9.57421875" style="0" customWidth="1"/>
    <col min="17" max="17" width="8.57421875" style="0" customWidth="1"/>
    <col min="18" max="18" width="6.7109375" style="0" customWidth="1"/>
    <col min="19" max="19" width="8.57421875" style="0" customWidth="1"/>
    <col min="20" max="20" width="9.8515625" style="0" customWidth="1"/>
    <col min="21" max="21" width="7.421875" style="0" customWidth="1"/>
    <col min="22" max="22" width="8.421875" style="0" customWidth="1"/>
  </cols>
  <sheetData>
    <row r="1" spans="1:22" s="11" customFormat="1" ht="15" customHeight="1" thickBot="1">
      <c r="A1" s="45">
        <v>1</v>
      </c>
      <c r="B1" s="46" t="s">
        <v>17</v>
      </c>
      <c r="C1" s="47">
        <v>52</v>
      </c>
      <c r="D1" s="48"/>
      <c r="E1" s="49">
        <v>2500</v>
      </c>
      <c r="F1" s="50"/>
      <c r="G1" s="50"/>
      <c r="H1" s="50"/>
      <c r="I1" s="50"/>
      <c r="J1" s="50"/>
      <c r="K1" s="50"/>
      <c r="L1" s="50"/>
      <c r="M1" s="50"/>
      <c r="N1" s="50"/>
      <c r="O1" s="16">
        <f aca="true" t="shared" si="0" ref="O1:O8">SUM(E1:N1)</f>
        <v>2500</v>
      </c>
      <c r="P1" s="16">
        <f aca="true" t="shared" si="1" ref="P1:P8">O1-M1-J1</f>
        <v>2500</v>
      </c>
      <c r="Q1" s="17">
        <f aca="true" t="shared" si="2" ref="Q1:Q8">P1*9%</f>
        <v>225</v>
      </c>
      <c r="R1" s="17"/>
      <c r="S1" s="17">
        <f aca="true" t="shared" si="3" ref="S1:S8">Q1+R1</f>
        <v>225</v>
      </c>
      <c r="T1" s="16">
        <f aca="true" t="shared" si="4" ref="T1:T8">P1+S1</f>
        <v>2725</v>
      </c>
      <c r="U1" s="18" t="s">
        <v>8</v>
      </c>
      <c r="V1" s="17">
        <f>+P1*13.02%</f>
        <v>325.49999999999994</v>
      </c>
    </row>
    <row r="2" spans="1:22" s="11" customFormat="1" ht="15" customHeight="1" thickBot="1">
      <c r="A2" s="51">
        <v>1</v>
      </c>
      <c r="B2" s="52" t="s">
        <v>1</v>
      </c>
      <c r="C2" s="53">
        <v>58</v>
      </c>
      <c r="D2" s="54">
        <v>5</v>
      </c>
      <c r="E2" s="55">
        <v>1789</v>
      </c>
      <c r="F2" s="56">
        <f>75+520</f>
        <v>595</v>
      </c>
      <c r="G2" s="56"/>
      <c r="H2" s="56"/>
      <c r="I2" s="56">
        <v>16.76</v>
      </c>
      <c r="J2" s="56"/>
      <c r="K2" s="56"/>
      <c r="L2" s="56"/>
      <c r="M2" s="56"/>
      <c r="N2" s="56"/>
      <c r="O2" s="16">
        <f t="shared" si="0"/>
        <v>2400.76</v>
      </c>
      <c r="P2" s="16">
        <f t="shared" si="1"/>
        <v>2400.76</v>
      </c>
      <c r="Q2" s="17">
        <f t="shared" si="2"/>
        <v>216.06840000000003</v>
      </c>
      <c r="R2" s="17"/>
      <c r="S2" s="17">
        <f t="shared" si="3"/>
        <v>216.06840000000003</v>
      </c>
      <c r="T2" s="16">
        <f t="shared" si="4"/>
        <v>2616.8284000000003</v>
      </c>
      <c r="U2" s="18" t="s">
        <v>6</v>
      </c>
      <c r="V2" s="17">
        <f>+P2*12.88%</f>
        <v>309.217888</v>
      </c>
    </row>
    <row r="3" spans="1:22" s="11" customFormat="1" ht="15" customHeight="1">
      <c r="A3" s="19">
        <v>1</v>
      </c>
      <c r="B3" s="20" t="s">
        <v>4</v>
      </c>
      <c r="C3" s="21">
        <v>21</v>
      </c>
      <c r="D3" s="22"/>
      <c r="E3" s="23">
        <v>1666</v>
      </c>
      <c r="F3" s="24">
        <v>520</v>
      </c>
      <c r="G3" s="24">
        <v>250</v>
      </c>
      <c r="H3" s="24"/>
      <c r="I3" s="24"/>
      <c r="J3" s="24"/>
      <c r="K3" s="24">
        <v>1666</v>
      </c>
      <c r="L3" s="24"/>
      <c r="M3" s="24">
        <v>73.6</v>
      </c>
      <c r="N3" s="24"/>
      <c r="O3" s="16">
        <f t="shared" si="0"/>
        <v>4175.6</v>
      </c>
      <c r="P3" s="16">
        <f t="shared" si="1"/>
        <v>4102</v>
      </c>
      <c r="Q3" s="17">
        <f t="shared" si="2"/>
        <v>369.18</v>
      </c>
      <c r="R3" s="17"/>
      <c r="S3" s="17">
        <f t="shared" si="3"/>
        <v>369.18</v>
      </c>
      <c r="T3" s="16">
        <f t="shared" si="4"/>
        <v>4471.18</v>
      </c>
      <c r="U3" s="18" t="s">
        <v>8</v>
      </c>
      <c r="V3" s="17">
        <f>+P3*13.02%</f>
        <v>534.0803999999999</v>
      </c>
    </row>
    <row r="4" spans="1:22" s="11" customFormat="1" ht="15" customHeight="1">
      <c r="A4" s="12">
        <v>1</v>
      </c>
      <c r="B4" s="13" t="s">
        <v>18</v>
      </c>
      <c r="C4" s="14">
        <v>31</v>
      </c>
      <c r="D4" s="15">
        <v>5</v>
      </c>
      <c r="E4" s="16">
        <v>1782</v>
      </c>
      <c r="F4" s="17">
        <f>580+28</f>
        <v>608</v>
      </c>
      <c r="G4" s="17"/>
      <c r="H4" s="17"/>
      <c r="I4" s="17">
        <v>22.84</v>
      </c>
      <c r="J4" s="17"/>
      <c r="K4" s="17"/>
      <c r="L4" s="17"/>
      <c r="M4" s="17"/>
      <c r="N4" s="17"/>
      <c r="O4" s="16">
        <f t="shared" si="0"/>
        <v>2412.84</v>
      </c>
      <c r="P4" s="16">
        <f t="shared" si="1"/>
        <v>2412.84</v>
      </c>
      <c r="Q4" s="17">
        <f t="shared" si="2"/>
        <v>217.1556</v>
      </c>
      <c r="R4" s="17"/>
      <c r="S4" s="17">
        <f t="shared" si="3"/>
        <v>217.1556</v>
      </c>
      <c r="T4" s="16">
        <f t="shared" si="4"/>
        <v>2629.9956</v>
      </c>
      <c r="U4" s="18" t="s">
        <v>8</v>
      </c>
      <c r="V4" s="17"/>
    </row>
    <row r="5" spans="1:22" s="11" customFormat="1" ht="15" customHeight="1">
      <c r="A5" s="12">
        <v>2</v>
      </c>
      <c r="B5" s="13" t="s">
        <v>5</v>
      </c>
      <c r="C5" s="14">
        <v>27</v>
      </c>
      <c r="D5" s="15"/>
      <c r="E5" s="16">
        <v>1666</v>
      </c>
      <c r="F5" s="17">
        <f>75+520+68</f>
        <v>663</v>
      </c>
      <c r="G5" s="17"/>
      <c r="H5" s="17"/>
      <c r="I5" s="17"/>
      <c r="J5" s="17"/>
      <c r="K5" s="17"/>
      <c r="L5" s="17"/>
      <c r="M5" s="17"/>
      <c r="N5" s="17"/>
      <c r="O5" s="16">
        <f t="shared" si="0"/>
        <v>2329</v>
      </c>
      <c r="P5" s="16">
        <f t="shared" si="1"/>
        <v>2329</v>
      </c>
      <c r="Q5" s="17">
        <f t="shared" si="2"/>
        <v>209.60999999999999</v>
      </c>
      <c r="R5" s="17"/>
      <c r="S5" s="17">
        <f t="shared" si="3"/>
        <v>209.60999999999999</v>
      </c>
      <c r="T5" s="16">
        <f t="shared" si="4"/>
        <v>2538.61</v>
      </c>
      <c r="U5" s="18" t="s">
        <v>8</v>
      </c>
      <c r="V5" s="17">
        <f>+P5*13.02%</f>
        <v>303.2358</v>
      </c>
    </row>
    <row r="6" spans="1:22" s="11" customFormat="1" ht="15" customHeight="1">
      <c r="A6" s="12">
        <v>2</v>
      </c>
      <c r="B6" s="13" t="s">
        <v>0</v>
      </c>
      <c r="C6" s="14">
        <v>74</v>
      </c>
      <c r="D6" s="15">
        <v>5</v>
      </c>
      <c r="E6" s="16">
        <v>1748</v>
      </c>
      <c r="F6" s="17">
        <f>75+480+84+188.55</f>
        <v>827.55</v>
      </c>
      <c r="G6" s="17"/>
      <c r="H6" s="17">
        <v>47.26</v>
      </c>
      <c r="I6" s="17">
        <v>15.28</v>
      </c>
      <c r="J6" s="17"/>
      <c r="K6" s="17"/>
      <c r="L6" s="17"/>
      <c r="M6" s="17">
        <v>80.5</v>
      </c>
      <c r="N6" s="17"/>
      <c r="O6" s="16">
        <f t="shared" si="0"/>
        <v>2718.5900000000006</v>
      </c>
      <c r="P6" s="16">
        <f t="shared" si="1"/>
        <v>2638.0900000000006</v>
      </c>
      <c r="Q6" s="17">
        <f t="shared" si="2"/>
        <v>237.42810000000006</v>
      </c>
      <c r="R6" s="17"/>
      <c r="S6" s="17">
        <f t="shared" si="3"/>
        <v>237.42810000000006</v>
      </c>
      <c r="T6" s="16">
        <f t="shared" si="4"/>
        <v>2875.5181000000007</v>
      </c>
      <c r="U6" s="18" t="s">
        <v>6</v>
      </c>
      <c r="V6" s="17">
        <f>+P6*12.88%</f>
        <v>339.7859920000001</v>
      </c>
    </row>
    <row r="7" spans="1:22" s="11" customFormat="1" ht="15" customHeight="1">
      <c r="A7" s="12">
        <v>3</v>
      </c>
      <c r="B7" s="13" t="s">
        <v>19</v>
      </c>
      <c r="C7" s="14">
        <v>47</v>
      </c>
      <c r="D7" s="15">
        <v>5</v>
      </c>
      <c r="E7" s="16">
        <v>1727</v>
      </c>
      <c r="F7" s="17">
        <f>75+520+72+180.2+86.35</f>
        <v>933.5500000000001</v>
      </c>
      <c r="G7" s="17"/>
      <c r="H7" s="17"/>
      <c r="I7" s="17"/>
      <c r="J7" s="17"/>
      <c r="K7" s="17"/>
      <c r="L7" s="17"/>
      <c r="M7" s="17">
        <v>80.5</v>
      </c>
      <c r="N7" s="17"/>
      <c r="O7" s="16">
        <f t="shared" si="0"/>
        <v>2741.05</v>
      </c>
      <c r="P7" s="16">
        <f t="shared" si="1"/>
        <v>2660.55</v>
      </c>
      <c r="Q7" s="17">
        <f t="shared" si="2"/>
        <v>239.4495</v>
      </c>
      <c r="R7" s="17"/>
      <c r="S7" s="17">
        <f t="shared" si="3"/>
        <v>239.4495</v>
      </c>
      <c r="T7" s="16">
        <f t="shared" si="4"/>
        <v>2899.9995000000004</v>
      </c>
      <c r="U7" s="18" t="s">
        <v>6</v>
      </c>
      <c r="V7" s="17">
        <f>+P7*12.88%</f>
        <v>342.67884000000004</v>
      </c>
    </row>
    <row r="8" spans="1:22" s="11" customFormat="1" ht="15" customHeight="1" thickBot="1">
      <c r="A8" s="45">
        <v>3</v>
      </c>
      <c r="B8" s="46" t="s">
        <v>2</v>
      </c>
      <c r="C8" s="47">
        <v>72</v>
      </c>
      <c r="D8" s="48">
        <v>5</v>
      </c>
      <c r="E8" s="49">
        <v>1782</v>
      </c>
      <c r="F8" s="50">
        <f>75+580+84+192.36</f>
        <v>931.36</v>
      </c>
      <c r="G8" s="50"/>
      <c r="H8" s="50">
        <v>50.33</v>
      </c>
      <c r="I8" s="50">
        <v>16.27</v>
      </c>
      <c r="J8" s="50"/>
      <c r="K8" s="50"/>
      <c r="L8" s="50"/>
      <c r="M8" s="50">
        <v>80.5</v>
      </c>
      <c r="N8" s="50"/>
      <c r="O8" s="16">
        <f t="shared" si="0"/>
        <v>2860.46</v>
      </c>
      <c r="P8" s="16">
        <f t="shared" si="1"/>
        <v>2779.96</v>
      </c>
      <c r="Q8" s="17">
        <f t="shared" si="2"/>
        <v>250.19639999999998</v>
      </c>
      <c r="R8" s="17"/>
      <c r="S8" s="17">
        <f t="shared" si="3"/>
        <v>250.19639999999998</v>
      </c>
      <c r="T8" s="16">
        <f t="shared" si="4"/>
        <v>3030.1564</v>
      </c>
      <c r="U8" s="18" t="s">
        <v>6</v>
      </c>
      <c r="V8" s="17">
        <f>+P8*12.88%</f>
        <v>358.058848</v>
      </c>
    </row>
    <row r="9" spans="1:22" s="11" customFormat="1" ht="15" customHeight="1">
      <c r="A9" s="19">
        <v>1</v>
      </c>
      <c r="B9" s="20" t="s">
        <v>26</v>
      </c>
      <c r="C9" s="21"/>
      <c r="D9" s="22"/>
      <c r="E9" s="23"/>
      <c r="F9" s="24"/>
      <c r="G9" s="24"/>
      <c r="H9" s="24"/>
      <c r="I9" s="24"/>
      <c r="J9" s="24"/>
      <c r="K9" s="24"/>
      <c r="L9" s="24"/>
      <c r="M9" s="24"/>
      <c r="N9" s="24"/>
      <c r="O9" s="16"/>
      <c r="P9" s="16"/>
      <c r="Q9" s="17"/>
      <c r="R9" s="17"/>
      <c r="S9" s="17"/>
      <c r="T9" s="16"/>
      <c r="U9" s="18"/>
      <c r="V9" s="17"/>
    </row>
    <row r="10" spans="1:22" s="11" customFormat="1" ht="15" customHeight="1">
      <c r="A10" s="19">
        <v>1</v>
      </c>
      <c r="B10" s="20" t="s">
        <v>20</v>
      </c>
      <c r="C10" s="21"/>
      <c r="D10" s="22"/>
      <c r="E10" s="23">
        <v>1000</v>
      </c>
      <c r="F10" s="24"/>
      <c r="G10" s="24"/>
      <c r="H10" s="24"/>
      <c r="I10" s="24"/>
      <c r="J10" s="24"/>
      <c r="K10" s="24"/>
      <c r="L10" s="24"/>
      <c r="M10" s="24"/>
      <c r="N10" s="24"/>
      <c r="O10" s="16">
        <f aca="true" t="shared" si="5" ref="O10:O15">SUM(E10:N10)</f>
        <v>1000</v>
      </c>
      <c r="P10" s="16">
        <f aca="true" t="shared" si="6" ref="P10:P15">O10-M10-J10</f>
        <v>1000</v>
      </c>
      <c r="Q10" s="17">
        <f aca="true" t="shared" si="7" ref="Q10:Q15">P10*9%</f>
        <v>90</v>
      </c>
      <c r="R10" s="17"/>
      <c r="S10" s="17">
        <f aca="true" t="shared" si="8" ref="S10:S15">Q10+R10</f>
        <v>90</v>
      </c>
      <c r="T10" s="16">
        <f aca="true" t="shared" si="9" ref="T10:T15">P10+S10</f>
        <v>1090</v>
      </c>
      <c r="U10" s="18" t="s">
        <v>10</v>
      </c>
      <c r="V10" s="17">
        <f>+P10*13%</f>
        <v>130</v>
      </c>
    </row>
    <row r="11" spans="1:22" s="11" customFormat="1" ht="15" customHeight="1" thickBot="1">
      <c r="A11" s="45">
        <v>2</v>
      </c>
      <c r="B11" s="46" t="s">
        <v>15</v>
      </c>
      <c r="C11" s="47"/>
      <c r="D11" s="48"/>
      <c r="E11" s="49">
        <v>1000</v>
      </c>
      <c r="F11" s="50">
        <v>150</v>
      </c>
      <c r="G11" s="50"/>
      <c r="H11" s="50"/>
      <c r="I11" s="50"/>
      <c r="J11" s="50"/>
      <c r="K11" s="50"/>
      <c r="L11" s="50"/>
      <c r="M11" s="50"/>
      <c r="N11" s="50"/>
      <c r="O11" s="16">
        <f t="shared" si="5"/>
        <v>1150</v>
      </c>
      <c r="P11" s="16">
        <f t="shared" si="6"/>
        <v>1150</v>
      </c>
      <c r="Q11" s="17">
        <f t="shared" si="7"/>
        <v>103.5</v>
      </c>
      <c r="R11" s="17"/>
      <c r="S11" s="17">
        <f t="shared" si="8"/>
        <v>103.5</v>
      </c>
      <c r="T11" s="16">
        <f t="shared" si="9"/>
        <v>1253.5</v>
      </c>
      <c r="U11" s="18" t="s">
        <v>10</v>
      </c>
      <c r="V11" s="17">
        <f>+P11*13%</f>
        <v>149.5</v>
      </c>
    </row>
    <row r="12" spans="1:22" s="11" customFormat="1" ht="15" customHeight="1">
      <c r="A12" s="19">
        <v>1</v>
      </c>
      <c r="B12" s="20" t="s">
        <v>21</v>
      </c>
      <c r="C12" s="21"/>
      <c r="D12" s="22"/>
      <c r="E12" s="23">
        <v>750</v>
      </c>
      <c r="F12" s="24">
        <f>75+120+68</f>
        <v>263</v>
      </c>
      <c r="G12" s="24"/>
      <c r="H12" s="24"/>
      <c r="I12" s="24"/>
      <c r="J12" s="24"/>
      <c r="K12" s="24"/>
      <c r="L12" s="24"/>
      <c r="M12" s="24"/>
      <c r="N12" s="24"/>
      <c r="O12" s="16">
        <f t="shared" si="5"/>
        <v>1013</v>
      </c>
      <c r="P12" s="16">
        <f t="shared" si="6"/>
        <v>1013</v>
      </c>
      <c r="Q12" s="17">
        <f t="shared" si="7"/>
        <v>91.17</v>
      </c>
      <c r="R12" s="17"/>
      <c r="S12" s="17">
        <f t="shared" si="8"/>
        <v>91.17</v>
      </c>
      <c r="T12" s="16">
        <f t="shared" si="9"/>
        <v>1104.17</v>
      </c>
      <c r="U12" s="18" t="s">
        <v>10</v>
      </c>
      <c r="V12" s="17">
        <f>+P12*13%</f>
        <v>131.69</v>
      </c>
    </row>
    <row r="13" spans="1:22" s="11" customFormat="1" ht="15" customHeight="1">
      <c r="A13" s="12">
        <v>2</v>
      </c>
      <c r="B13" s="13" t="s">
        <v>22</v>
      </c>
      <c r="C13" s="14"/>
      <c r="D13" s="15">
        <v>5</v>
      </c>
      <c r="E13" s="16">
        <v>880</v>
      </c>
      <c r="F13" s="17">
        <f>520+80+88</f>
        <v>688</v>
      </c>
      <c r="G13" s="17"/>
      <c r="H13" s="17"/>
      <c r="I13" s="17"/>
      <c r="J13" s="17"/>
      <c r="K13" s="17"/>
      <c r="L13" s="17"/>
      <c r="M13" s="17">
        <v>80.5</v>
      </c>
      <c r="N13" s="17"/>
      <c r="O13" s="16">
        <f t="shared" si="5"/>
        <v>1648.5</v>
      </c>
      <c r="P13" s="16">
        <f t="shared" si="6"/>
        <v>1568</v>
      </c>
      <c r="Q13" s="17">
        <f t="shared" si="7"/>
        <v>141.12</v>
      </c>
      <c r="R13" s="17"/>
      <c r="S13" s="17">
        <f t="shared" si="8"/>
        <v>141.12</v>
      </c>
      <c r="T13" s="16">
        <f t="shared" si="9"/>
        <v>1709.12</v>
      </c>
      <c r="U13" s="18" t="s">
        <v>8</v>
      </c>
      <c r="V13" s="17">
        <f>+P13*13.02%</f>
        <v>204.15359999999998</v>
      </c>
    </row>
    <row r="14" spans="1:22" s="11" customFormat="1" ht="15" customHeight="1">
      <c r="A14" s="12">
        <v>3</v>
      </c>
      <c r="B14" s="13" t="s">
        <v>13</v>
      </c>
      <c r="C14" s="14"/>
      <c r="D14" s="15"/>
      <c r="E14" s="16">
        <v>750</v>
      </c>
      <c r="F14" s="17">
        <f>120+52</f>
        <v>172</v>
      </c>
      <c r="G14" s="17"/>
      <c r="H14" s="17"/>
      <c r="I14" s="17"/>
      <c r="J14" s="17"/>
      <c r="K14" s="17"/>
      <c r="L14" s="17"/>
      <c r="M14" s="17"/>
      <c r="N14" s="17"/>
      <c r="O14" s="16">
        <f t="shared" si="5"/>
        <v>922</v>
      </c>
      <c r="P14" s="16">
        <f t="shared" si="6"/>
        <v>922</v>
      </c>
      <c r="Q14" s="17">
        <f t="shared" si="7"/>
        <v>82.98</v>
      </c>
      <c r="R14" s="17"/>
      <c r="S14" s="17">
        <f t="shared" si="8"/>
        <v>82.98</v>
      </c>
      <c r="T14" s="16">
        <f t="shared" si="9"/>
        <v>1004.98</v>
      </c>
      <c r="U14" s="18" t="s">
        <v>10</v>
      </c>
      <c r="V14" s="17">
        <f>+P14*13%</f>
        <v>119.86</v>
      </c>
    </row>
    <row r="15" spans="1:22" s="11" customFormat="1" ht="15" customHeight="1">
      <c r="A15" s="12">
        <v>4</v>
      </c>
      <c r="B15" s="13" t="s">
        <v>14</v>
      </c>
      <c r="C15" s="14"/>
      <c r="D15" s="15"/>
      <c r="E15" s="16">
        <v>750</v>
      </c>
      <c r="F15" s="17">
        <f>75+120+60</f>
        <v>255</v>
      </c>
      <c r="G15" s="17"/>
      <c r="H15" s="17"/>
      <c r="I15" s="17"/>
      <c r="J15" s="17"/>
      <c r="K15" s="17"/>
      <c r="L15" s="17"/>
      <c r="M15" s="17"/>
      <c r="N15" s="17"/>
      <c r="O15" s="16">
        <f t="shared" si="5"/>
        <v>1005</v>
      </c>
      <c r="P15" s="16">
        <f t="shared" si="6"/>
        <v>1005</v>
      </c>
      <c r="Q15" s="17">
        <f t="shared" si="7"/>
        <v>90.45</v>
      </c>
      <c r="R15" s="17"/>
      <c r="S15" s="17">
        <f t="shared" si="8"/>
        <v>90.45</v>
      </c>
      <c r="T15" s="16">
        <f t="shared" si="9"/>
        <v>1095.45</v>
      </c>
      <c r="U15" s="18" t="s">
        <v>10</v>
      </c>
      <c r="V15" s="17">
        <f>+P15*13%</f>
        <v>130.65</v>
      </c>
    </row>
    <row r="16" s="9" customFormat="1" ht="12.75"/>
    <row r="17" s="9" customFormat="1" ht="12.75"/>
    <row r="18" s="9" customFormat="1" ht="12.75"/>
    <row r="19" s="9" customFormat="1" ht="12.75"/>
    <row r="20" s="9" customFormat="1" ht="12.75"/>
    <row r="21" s="9" customFormat="1" ht="12.75"/>
    <row r="22" s="9" customFormat="1" ht="12.75"/>
    <row r="23" s="9" customFormat="1" ht="12.75"/>
    <row r="24" s="9" customFormat="1" ht="12.75"/>
    <row r="25" s="9" customFormat="1" ht="12.75"/>
    <row r="26" s="9" customFormat="1" ht="12.75"/>
    <row r="27" s="9" customFormat="1" ht="12.75"/>
    <row r="28" s="9" customFormat="1" ht="12.75"/>
    <row r="29" s="9" customFormat="1" ht="12.75"/>
    <row r="30" s="9" customFormat="1" ht="12.75"/>
    <row r="31" s="9" customFormat="1" ht="12.75"/>
    <row r="32" s="9" customFormat="1" ht="12.75"/>
    <row r="33" s="9" customFormat="1" ht="12.75"/>
    <row r="34" s="9" customFormat="1" ht="12.75"/>
    <row r="35" s="9" customFormat="1" ht="12.75"/>
    <row r="36" s="9" customFormat="1" ht="12.75"/>
    <row r="37" s="9" customFormat="1" ht="12.75"/>
    <row r="38" s="9" customFormat="1" ht="12.75"/>
    <row r="39" s="9" customFormat="1" ht="12.75"/>
    <row r="40" s="9" customFormat="1" ht="12.75"/>
    <row r="41" s="9" customFormat="1" ht="12.75"/>
    <row r="42" s="9" customFormat="1" ht="12.75"/>
    <row r="43" s="9" customFormat="1" ht="12.75"/>
    <row r="44" s="9" customFormat="1" ht="12.75"/>
    <row r="45" s="9" customFormat="1" ht="12.75"/>
    <row r="46" s="9" customFormat="1" ht="12.75"/>
    <row r="47" s="9" customFormat="1" ht="12.75"/>
    <row r="48" s="9" customFormat="1" ht="12.75"/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</sheetData>
  <sheetProtection/>
  <printOptions/>
  <pageMargins left="0.68" right="0.2362204724409449" top="0.45" bottom="0.54" header="0.2362204724409449" footer="0.2755905511811024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A9" sqref="A9:B9"/>
    </sheetView>
  </sheetViews>
  <sheetFormatPr defaultColWidth="11.421875" defaultRowHeight="12.75"/>
  <cols>
    <col min="1" max="1" width="2.8515625" style="0" customWidth="1"/>
    <col min="2" max="2" width="24.57421875" style="0" customWidth="1"/>
    <col min="3" max="3" width="4.28125" style="0" customWidth="1"/>
    <col min="4" max="4" width="3.7109375" style="0" customWidth="1"/>
    <col min="5" max="5" width="9.28125" style="0" customWidth="1"/>
    <col min="6" max="6" width="8.57421875" style="0" customWidth="1"/>
    <col min="7" max="7" width="8.421875" style="0" customWidth="1"/>
    <col min="8" max="8" width="6.421875" style="0" customWidth="1"/>
    <col min="9" max="9" width="6.7109375" style="0" customWidth="1"/>
    <col min="10" max="10" width="6.00390625" style="0" customWidth="1"/>
    <col min="11" max="11" width="8.140625" style="0" customWidth="1"/>
    <col min="12" max="12" width="6.421875" style="0" customWidth="1"/>
    <col min="13" max="13" width="7.28125" style="0" customWidth="1"/>
    <col min="14" max="14" width="5.8515625" style="0" customWidth="1"/>
    <col min="15" max="15" width="9.57421875" style="0" customWidth="1"/>
    <col min="16" max="16" width="9.421875" style="0" customWidth="1"/>
    <col min="17" max="17" width="8.57421875" style="0" customWidth="1"/>
    <col min="18" max="18" width="4.8515625" style="0" customWidth="1"/>
    <col min="19" max="19" width="8.28125" style="0" customWidth="1"/>
    <col min="20" max="20" width="9.7109375" style="0" customWidth="1"/>
    <col min="21" max="21" width="7.57421875" style="0" customWidth="1"/>
    <col min="22" max="22" width="8.421875" style="0" customWidth="1"/>
  </cols>
  <sheetData>
    <row r="1" spans="1:22" ht="15" thickBot="1">
      <c r="A1" s="45">
        <v>1</v>
      </c>
      <c r="B1" s="46" t="s">
        <v>17</v>
      </c>
      <c r="C1" s="47">
        <v>52</v>
      </c>
      <c r="D1" s="48"/>
      <c r="E1" s="49">
        <v>2500</v>
      </c>
      <c r="F1" s="50"/>
      <c r="G1" s="50"/>
      <c r="H1" s="50"/>
      <c r="I1" s="50"/>
      <c r="J1" s="50"/>
      <c r="K1" s="50"/>
      <c r="L1" s="50"/>
      <c r="M1" s="50"/>
      <c r="N1" s="50"/>
      <c r="O1" s="16">
        <f aca="true" t="shared" si="0" ref="O1:O8">SUM(E1:N1)</f>
        <v>2500</v>
      </c>
      <c r="P1" s="16">
        <f aca="true" t="shared" si="1" ref="P1:P8">O1-M1-J1</f>
        <v>2500</v>
      </c>
      <c r="Q1" s="17">
        <f aca="true" t="shared" si="2" ref="Q1:Q8">P1*9%</f>
        <v>225</v>
      </c>
      <c r="R1" s="17"/>
      <c r="S1" s="17">
        <f aca="true" t="shared" si="3" ref="S1:S8">Q1+R1</f>
        <v>225</v>
      </c>
      <c r="T1" s="16">
        <f aca="true" t="shared" si="4" ref="T1:T8">P1+S1</f>
        <v>2725</v>
      </c>
      <c r="U1" s="18" t="s">
        <v>8</v>
      </c>
      <c r="V1" s="17">
        <f>+P1*13.02%</f>
        <v>325.49999999999994</v>
      </c>
    </row>
    <row r="2" spans="1:22" ht="15" thickBot="1">
      <c r="A2" s="51">
        <v>1</v>
      </c>
      <c r="B2" s="52" t="s">
        <v>1</v>
      </c>
      <c r="C2" s="53">
        <v>54</v>
      </c>
      <c r="D2" s="54">
        <v>5</v>
      </c>
      <c r="E2" s="55">
        <v>1789</v>
      </c>
      <c r="F2" s="56">
        <f>75+60+75</f>
        <v>210</v>
      </c>
      <c r="G2" s="56">
        <v>600</v>
      </c>
      <c r="H2" s="56"/>
      <c r="I2" s="56">
        <v>16.76</v>
      </c>
      <c r="J2" s="56"/>
      <c r="K2" s="56"/>
      <c r="L2" s="56"/>
      <c r="M2" s="56"/>
      <c r="N2" s="56"/>
      <c r="O2" s="16">
        <f t="shared" si="0"/>
        <v>2615.76</v>
      </c>
      <c r="P2" s="16">
        <f t="shared" si="1"/>
        <v>2615.76</v>
      </c>
      <c r="Q2" s="17">
        <f t="shared" si="2"/>
        <v>235.41840000000002</v>
      </c>
      <c r="R2" s="17"/>
      <c r="S2" s="17">
        <f t="shared" si="3"/>
        <v>235.41840000000002</v>
      </c>
      <c r="T2" s="16">
        <f t="shared" si="4"/>
        <v>2851.1784000000002</v>
      </c>
      <c r="U2" s="18" t="s">
        <v>6</v>
      </c>
      <c r="V2" s="17">
        <f>+P2*12.88%</f>
        <v>336.909888</v>
      </c>
    </row>
    <row r="3" spans="1:22" ht="14.25">
      <c r="A3" s="19">
        <v>1</v>
      </c>
      <c r="B3" s="20" t="s">
        <v>4</v>
      </c>
      <c r="C3" s="21">
        <v>23</v>
      </c>
      <c r="D3" s="22"/>
      <c r="E3" s="23">
        <v>1666</v>
      </c>
      <c r="F3" s="24">
        <v>48</v>
      </c>
      <c r="G3" s="24">
        <v>500</v>
      </c>
      <c r="H3" s="24"/>
      <c r="I3" s="24"/>
      <c r="J3" s="24"/>
      <c r="K3" s="24"/>
      <c r="L3" s="24"/>
      <c r="M3" s="24">
        <v>89.6</v>
      </c>
      <c r="N3" s="24"/>
      <c r="O3" s="16">
        <f t="shared" si="0"/>
        <v>2303.6</v>
      </c>
      <c r="P3" s="16">
        <f t="shared" si="1"/>
        <v>2214</v>
      </c>
      <c r="Q3" s="17">
        <f t="shared" si="2"/>
        <v>199.26</v>
      </c>
      <c r="R3" s="17"/>
      <c r="S3" s="17">
        <f t="shared" si="3"/>
        <v>199.26</v>
      </c>
      <c r="T3" s="16">
        <f t="shared" si="4"/>
        <v>2413.26</v>
      </c>
      <c r="U3" s="18" t="s">
        <v>8</v>
      </c>
      <c r="V3" s="17">
        <f>+P3*13.02%</f>
        <v>288.26279999999997</v>
      </c>
    </row>
    <row r="4" spans="1:22" ht="14.25">
      <c r="A4" s="12">
        <v>1</v>
      </c>
      <c r="B4" s="13" t="s">
        <v>18</v>
      </c>
      <c r="C4" s="14">
        <v>31</v>
      </c>
      <c r="D4" s="15">
        <v>5</v>
      </c>
      <c r="E4" s="16">
        <v>1782</v>
      </c>
      <c r="F4" s="17">
        <v>63</v>
      </c>
      <c r="G4" s="17">
        <v>600</v>
      </c>
      <c r="H4" s="17"/>
      <c r="I4" s="17">
        <v>22.84</v>
      </c>
      <c r="J4" s="17"/>
      <c r="K4" s="17"/>
      <c r="L4" s="17"/>
      <c r="M4" s="17">
        <v>99.2</v>
      </c>
      <c r="N4" s="17"/>
      <c r="O4" s="16">
        <f t="shared" si="0"/>
        <v>2567.04</v>
      </c>
      <c r="P4" s="16">
        <f t="shared" si="1"/>
        <v>2467.84</v>
      </c>
      <c r="Q4" s="17">
        <f t="shared" si="2"/>
        <v>222.1056</v>
      </c>
      <c r="R4" s="17"/>
      <c r="S4" s="17">
        <f t="shared" si="3"/>
        <v>222.1056</v>
      </c>
      <c r="T4" s="16">
        <f t="shared" si="4"/>
        <v>2689.9456</v>
      </c>
      <c r="U4" s="18" t="s">
        <v>8</v>
      </c>
      <c r="V4" s="17"/>
    </row>
    <row r="5" spans="1:22" ht="14.25">
      <c r="A5" s="12">
        <v>2</v>
      </c>
      <c r="B5" s="13" t="s">
        <v>5</v>
      </c>
      <c r="C5" s="14">
        <v>25</v>
      </c>
      <c r="D5" s="15"/>
      <c r="E5" s="16">
        <v>1666</v>
      </c>
      <c r="F5" s="17">
        <f>75+63+75</f>
        <v>213</v>
      </c>
      <c r="G5" s="17">
        <v>400</v>
      </c>
      <c r="H5" s="17"/>
      <c r="I5" s="17"/>
      <c r="J5" s="17"/>
      <c r="K5" s="17"/>
      <c r="L5" s="17"/>
      <c r="M5" s="17"/>
      <c r="N5" s="17"/>
      <c r="O5" s="16">
        <f t="shared" si="0"/>
        <v>2279</v>
      </c>
      <c r="P5" s="16">
        <f t="shared" si="1"/>
        <v>2279</v>
      </c>
      <c r="Q5" s="17">
        <f t="shared" si="2"/>
        <v>205.10999999999999</v>
      </c>
      <c r="R5" s="17"/>
      <c r="S5" s="17">
        <f t="shared" si="3"/>
        <v>205.10999999999999</v>
      </c>
      <c r="T5" s="16">
        <f t="shared" si="4"/>
        <v>2484.11</v>
      </c>
      <c r="U5" s="18" t="s">
        <v>8</v>
      </c>
      <c r="V5" s="17">
        <f>+P5*13.02%</f>
        <v>296.72579999999994</v>
      </c>
    </row>
    <row r="6" spans="1:22" ht="14.25">
      <c r="A6" s="12">
        <v>2</v>
      </c>
      <c r="B6" s="13" t="s">
        <v>0</v>
      </c>
      <c r="C6" s="14">
        <v>74</v>
      </c>
      <c r="D6" s="15">
        <v>5</v>
      </c>
      <c r="E6" s="16">
        <v>1748</v>
      </c>
      <c r="F6" s="17">
        <f>75+92+188.55</f>
        <v>355.55</v>
      </c>
      <c r="G6" s="17">
        <v>600</v>
      </c>
      <c r="H6" s="17">
        <v>47.26</v>
      </c>
      <c r="I6" s="17">
        <v>15.28</v>
      </c>
      <c r="J6" s="17"/>
      <c r="K6" s="17"/>
      <c r="L6" s="17"/>
      <c r="M6" s="17">
        <v>80.5</v>
      </c>
      <c r="N6" s="17"/>
      <c r="O6" s="16">
        <f t="shared" si="0"/>
        <v>2846.5900000000006</v>
      </c>
      <c r="P6" s="16">
        <f t="shared" si="1"/>
        <v>2766.0900000000006</v>
      </c>
      <c r="Q6" s="17">
        <f t="shared" si="2"/>
        <v>248.94810000000004</v>
      </c>
      <c r="R6" s="17"/>
      <c r="S6" s="17">
        <f t="shared" si="3"/>
        <v>248.94810000000004</v>
      </c>
      <c r="T6" s="16">
        <f t="shared" si="4"/>
        <v>3015.0381000000007</v>
      </c>
      <c r="U6" s="18" t="s">
        <v>6</v>
      </c>
      <c r="V6" s="17">
        <f>+P6*12.88%</f>
        <v>356.2723920000001</v>
      </c>
    </row>
    <row r="7" spans="1:22" ht="14.25">
      <c r="A7" s="12">
        <v>3</v>
      </c>
      <c r="B7" s="13" t="s">
        <v>19</v>
      </c>
      <c r="C7" s="14">
        <v>50</v>
      </c>
      <c r="D7" s="15">
        <v>5</v>
      </c>
      <c r="E7" s="16">
        <v>1727</v>
      </c>
      <c r="F7" s="17">
        <f>75+92+75+240.27</f>
        <v>482.27</v>
      </c>
      <c r="G7" s="17">
        <v>300</v>
      </c>
      <c r="H7" s="17"/>
      <c r="I7" s="17"/>
      <c r="J7" s="17"/>
      <c r="K7" s="17"/>
      <c r="L7" s="17"/>
      <c r="M7" s="17">
        <v>92</v>
      </c>
      <c r="N7" s="17"/>
      <c r="O7" s="16">
        <f t="shared" si="0"/>
        <v>2601.27</v>
      </c>
      <c r="P7" s="16">
        <f t="shared" si="1"/>
        <v>2509.27</v>
      </c>
      <c r="Q7" s="17">
        <f t="shared" si="2"/>
        <v>225.83429999999998</v>
      </c>
      <c r="R7" s="17"/>
      <c r="S7" s="17">
        <f t="shared" si="3"/>
        <v>225.83429999999998</v>
      </c>
      <c r="T7" s="16">
        <f t="shared" si="4"/>
        <v>2735.1043</v>
      </c>
      <c r="U7" s="18" t="s">
        <v>6</v>
      </c>
      <c r="V7" s="17">
        <f>+P7*12.88%</f>
        <v>323.193976</v>
      </c>
    </row>
    <row r="8" spans="1:22" ht="15" thickBot="1">
      <c r="A8" s="45">
        <v>3</v>
      </c>
      <c r="B8" s="46" t="s">
        <v>2</v>
      </c>
      <c r="C8" s="47">
        <v>72</v>
      </c>
      <c r="D8" s="48">
        <v>5</v>
      </c>
      <c r="E8" s="49">
        <v>1782</v>
      </c>
      <c r="F8" s="50">
        <f>75+92+256.48</f>
        <v>423.48</v>
      </c>
      <c r="G8" s="50">
        <v>600</v>
      </c>
      <c r="H8" s="50">
        <v>50.33</v>
      </c>
      <c r="I8" s="50">
        <v>16.27</v>
      </c>
      <c r="J8" s="50"/>
      <c r="K8" s="50"/>
      <c r="L8" s="50"/>
      <c r="M8" s="50">
        <v>92</v>
      </c>
      <c r="N8" s="50"/>
      <c r="O8" s="16">
        <f t="shared" si="0"/>
        <v>2964.08</v>
      </c>
      <c r="P8" s="16">
        <f t="shared" si="1"/>
        <v>2872.08</v>
      </c>
      <c r="Q8" s="17">
        <f t="shared" si="2"/>
        <v>258.4872</v>
      </c>
      <c r="R8" s="17"/>
      <c r="S8" s="17">
        <f t="shared" si="3"/>
        <v>258.4872</v>
      </c>
      <c r="T8" s="16">
        <f t="shared" si="4"/>
        <v>3130.5672</v>
      </c>
      <c r="U8" s="18" t="s">
        <v>6</v>
      </c>
      <c r="V8" s="17">
        <f>+P8*12.88%</f>
        <v>369.923904</v>
      </c>
    </row>
    <row r="9" spans="1:22" ht="14.25">
      <c r="A9" s="19">
        <v>1</v>
      </c>
      <c r="B9" s="20" t="s">
        <v>26</v>
      </c>
      <c r="C9" s="21"/>
      <c r="D9" s="22"/>
      <c r="E9" s="23"/>
      <c r="F9" s="24"/>
      <c r="G9" s="24"/>
      <c r="H9" s="24"/>
      <c r="I9" s="24"/>
      <c r="J9" s="24"/>
      <c r="K9" s="24"/>
      <c r="L9" s="24"/>
      <c r="M9" s="24"/>
      <c r="N9" s="24"/>
      <c r="O9" s="16"/>
      <c r="P9" s="16"/>
      <c r="Q9" s="17"/>
      <c r="R9" s="17"/>
      <c r="S9" s="17"/>
      <c r="T9" s="16"/>
      <c r="U9" s="18"/>
      <c r="V9" s="17"/>
    </row>
    <row r="10" spans="1:22" ht="14.25">
      <c r="A10" s="19">
        <v>1</v>
      </c>
      <c r="B10" s="20" t="s">
        <v>20</v>
      </c>
      <c r="C10" s="21"/>
      <c r="D10" s="22"/>
      <c r="E10" s="23">
        <v>1000</v>
      </c>
      <c r="F10" s="24"/>
      <c r="G10" s="24"/>
      <c r="H10" s="24"/>
      <c r="I10" s="24"/>
      <c r="J10" s="24"/>
      <c r="K10" s="24"/>
      <c r="L10" s="24"/>
      <c r="M10" s="24"/>
      <c r="N10" s="24"/>
      <c r="O10" s="16">
        <f>SUM(E10:N10)</f>
        <v>1000</v>
      </c>
      <c r="P10" s="16">
        <f>O10-M10-J10</f>
        <v>1000</v>
      </c>
      <c r="Q10" s="17">
        <f>P10*9%</f>
        <v>90</v>
      </c>
      <c r="R10" s="17"/>
      <c r="S10" s="17">
        <f>Q10+R10</f>
        <v>90</v>
      </c>
      <c r="T10" s="16">
        <f>P10+S10</f>
        <v>1090</v>
      </c>
      <c r="U10" s="18" t="s">
        <v>10</v>
      </c>
      <c r="V10" s="17">
        <f>+P10*13%</f>
        <v>130</v>
      </c>
    </row>
    <row r="11" spans="1:22" ht="15" thickBot="1">
      <c r="A11" s="45">
        <v>2</v>
      </c>
      <c r="B11" s="46" t="s">
        <v>15</v>
      </c>
      <c r="C11" s="47"/>
      <c r="D11" s="48">
        <v>5</v>
      </c>
      <c r="E11" s="49">
        <v>1000</v>
      </c>
      <c r="F11" s="50">
        <v>150</v>
      </c>
      <c r="G11" s="50"/>
      <c r="H11" s="50"/>
      <c r="I11" s="50"/>
      <c r="J11" s="50"/>
      <c r="K11" s="50"/>
      <c r="L11" s="50"/>
      <c r="M11" s="50"/>
      <c r="N11" s="50"/>
      <c r="O11" s="16">
        <f>SUM(E11:N11)</f>
        <v>1150</v>
      </c>
      <c r="P11" s="16">
        <f>O11-M11-J11</f>
        <v>1150</v>
      </c>
      <c r="Q11" s="17">
        <f>P11*9%</f>
        <v>103.5</v>
      </c>
      <c r="R11" s="17"/>
      <c r="S11" s="17">
        <f>Q11+R11</f>
        <v>103.5</v>
      </c>
      <c r="T11" s="16">
        <f>P11+S11</f>
        <v>1253.5</v>
      </c>
      <c r="U11" s="18" t="s">
        <v>10</v>
      </c>
      <c r="V11" s="17">
        <f>+P11*13%</f>
        <v>149.5</v>
      </c>
    </row>
    <row r="12" spans="1:22" ht="13.5">
      <c r="A12" s="19">
        <v>1</v>
      </c>
      <c r="B12" s="20" t="s">
        <v>21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73"/>
      <c r="P12" s="73"/>
      <c r="Q12" s="73"/>
      <c r="R12" s="73"/>
      <c r="S12" s="73"/>
      <c r="T12" s="73"/>
      <c r="U12" s="73"/>
      <c r="V12" s="73"/>
    </row>
    <row r="13" spans="1:22" ht="14.25">
      <c r="A13" s="19">
        <v>1</v>
      </c>
      <c r="B13" s="20" t="s">
        <v>22</v>
      </c>
      <c r="C13" s="68"/>
      <c r="D13" s="70">
        <v>5</v>
      </c>
      <c r="E13" s="71">
        <v>880</v>
      </c>
      <c r="F13" s="72">
        <f>96+117.33</f>
        <v>213.32999999999998</v>
      </c>
      <c r="G13" s="72"/>
      <c r="H13" s="72"/>
      <c r="I13" s="72"/>
      <c r="J13" s="72"/>
      <c r="K13" s="72"/>
      <c r="L13" s="72"/>
      <c r="M13" s="72">
        <v>92</v>
      </c>
      <c r="N13" s="72"/>
      <c r="O13" s="71">
        <f>SUM(E13:N13)</f>
        <v>1185.33</v>
      </c>
      <c r="P13" s="71">
        <f>O13-M13-J13</f>
        <v>1093.33</v>
      </c>
      <c r="Q13" s="72">
        <f>P13*9%</f>
        <v>98.3997</v>
      </c>
      <c r="R13" s="72"/>
      <c r="S13" s="72">
        <f>Q13+R13</f>
        <v>98.3997</v>
      </c>
      <c r="T13" s="71">
        <f>P13+S13</f>
        <v>1191.7296999999999</v>
      </c>
      <c r="U13" s="74" t="s">
        <v>8</v>
      </c>
      <c r="V13" s="72">
        <f>+P13*13.02%</f>
        <v>142.35156599999996</v>
      </c>
    </row>
    <row r="14" spans="1:2" ht="13.5">
      <c r="A14" s="12">
        <v>3</v>
      </c>
      <c r="B14" s="13" t="s">
        <v>13</v>
      </c>
    </row>
    <row r="15" spans="1:2" ht="13.5">
      <c r="A15" s="12">
        <v>4</v>
      </c>
      <c r="B15" s="13" t="s">
        <v>14</v>
      </c>
    </row>
  </sheetData>
  <sheetProtection/>
  <printOptions/>
  <pageMargins left="0.4724409448818898" right="0.15748031496062992" top="0.3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A9" sqref="A9:B9"/>
    </sheetView>
  </sheetViews>
  <sheetFormatPr defaultColWidth="11.421875" defaultRowHeight="12.75"/>
  <cols>
    <col min="1" max="1" width="3.8515625" style="0" customWidth="1"/>
    <col min="2" max="2" width="22.140625" style="0" customWidth="1"/>
    <col min="3" max="3" width="4.140625" style="0" customWidth="1"/>
    <col min="4" max="4" width="3.8515625" style="0" customWidth="1"/>
    <col min="5" max="5" width="9.28125" style="0" customWidth="1"/>
    <col min="6" max="7" width="8.28125" style="0" customWidth="1"/>
    <col min="8" max="8" width="6.421875" style="0" customWidth="1"/>
    <col min="9" max="9" width="6.28125" style="0" customWidth="1"/>
    <col min="10" max="10" width="5.28125" style="0" customWidth="1"/>
    <col min="11" max="11" width="7.28125" style="0" customWidth="1"/>
    <col min="12" max="12" width="6.140625" style="0" customWidth="1"/>
    <col min="13" max="13" width="7.00390625" style="0" customWidth="1"/>
    <col min="14" max="14" width="5.28125" style="0" customWidth="1"/>
    <col min="15" max="16" width="9.4218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9.421875" style="0" customWidth="1"/>
    <col min="21" max="21" width="7.00390625" style="0" customWidth="1"/>
    <col min="22" max="22" width="8.140625" style="0" customWidth="1"/>
  </cols>
  <sheetData>
    <row r="1" spans="1:22" ht="15" thickBot="1">
      <c r="A1" s="45">
        <v>1</v>
      </c>
      <c r="B1" s="46" t="s">
        <v>23</v>
      </c>
      <c r="C1" s="47">
        <v>52</v>
      </c>
      <c r="D1" s="48">
        <v>5</v>
      </c>
      <c r="E1" s="49">
        <v>2500</v>
      </c>
      <c r="F1" s="50"/>
      <c r="G1" s="50"/>
      <c r="H1" s="50"/>
      <c r="I1" s="50"/>
      <c r="J1" s="50"/>
      <c r="K1" s="50"/>
      <c r="L1" s="50"/>
      <c r="M1" s="50"/>
      <c r="N1" s="50"/>
      <c r="O1" s="16">
        <f aca="true" t="shared" si="0" ref="O1:O8">SUM(E1:N1)</f>
        <v>2500</v>
      </c>
      <c r="P1" s="16">
        <f aca="true" t="shared" si="1" ref="P1:P8">O1-M1-J1</f>
        <v>2500</v>
      </c>
      <c r="Q1" s="17">
        <f aca="true" t="shared" si="2" ref="Q1:Q8">P1*9%</f>
        <v>225</v>
      </c>
      <c r="R1" s="17"/>
      <c r="S1" s="17">
        <f aca="true" t="shared" si="3" ref="S1:S8">Q1+R1</f>
        <v>225</v>
      </c>
      <c r="T1" s="16">
        <f aca="true" t="shared" si="4" ref="T1:T8">P1+S1</f>
        <v>2725</v>
      </c>
      <c r="U1" s="18" t="s">
        <v>8</v>
      </c>
      <c r="V1" s="17">
        <f>+P1*13.02%</f>
        <v>325.49999999999994</v>
      </c>
    </row>
    <row r="2" spans="1:22" ht="15" thickBot="1">
      <c r="A2" s="51">
        <v>1</v>
      </c>
      <c r="B2" s="52" t="s">
        <v>1</v>
      </c>
      <c r="C2" s="53">
        <v>54</v>
      </c>
      <c r="D2" s="54">
        <v>5</v>
      </c>
      <c r="E2" s="55">
        <v>1789</v>
      </c>
      <c r="F2" s="56">
        <v>75</v>
      </c>
      <c r="G2" s="56">
        <v>300</v>
      </c>
      <c r="H2" s="56"/>
      <c r="I2" s="56">
        <v>16.76</v>
      </c>
      <c r="J2" s="56"/>
      <c r="K2" s="56"/>
      <c r="L2" s="56"/>
      <c r="M2" s="56"/>
      <c r="N2" s="56"/>
      <c r="O2" s="16">
        <f t="shared" si="0"/>
        <v>2180.76</v>
      </c>
      <c r="P2" s="16">
        <f t="shared" si="1"/>
        <v>2180.76</v>
      </c>
      <c r="Q2" s="17">
        <f t="shared" si="2"/>
        <v>196.2684</v>
      </c>
      <c r="R2" s="17"/>
      <c r="S2" s="17">
        <f t="shared" si="3"/>
        <v>196.2684</v>
      </c>
      <c r="T2" s="16">
        <f t="shared" si="4"/>
        <v>2377.0284</v>
      </c>
      <c r="U2" s="18" t="s">
        <v>6</v>
      </c>
      <c r="V2" s="17">
        <f>+P2*12.88%</f>
        <v>280.881888</v>
      </c>
    </row>
    <row r="3" spans="1:22" ht="14.25">
      <c r="A3" s="19">
        <v>1</v>
      </c>
      <c r="B3" s="20" t="s">
        <v>4</v>
      </c>
      <c r="C3" s="21">
        <v>23</v>
      </c>
      <c r="D3" s="22"/>
      <c r="E3" s="23">
        <v>1666</v>
      </c>
      <c r="F3" s="24">
        <v>80</v>
      </c>
      <c r="G3" s="24">
        <v>250</v>
      </c>
      <c r="H3" s="24"/>
      <c r="I3" s="24"/>
      <c r="J3" s="24"/>
      <c r="K3" s="24"/>
      <c r="L3" s="24"/>
      <c r="M3" s="24">
        <v>96</v>
      </c>
      <c r="N3" s="24"/>
      <c r="O3" s="16">
        <f t="shared" si="0"/>
        <v>2092</v>
      </c>
      <c r="P3" s="16">
        <f t="shared" si="1"/>
        <v>1996</v>
      </c>
      <c r="Q3" s="17">
        <f t="shared" si="2"/>
        <v>179.64</v>
      </c>
      <c r="R3" s="17"/>
      <c r="S3" s="17">
        <f t="shared" si="3"/>
        <v>179.64</v>
      </c>
      <c r="T3" s="16">
        <f t="shared" si="4"/>
        <v>2175.64</v>
      </c>
      <c r="U3" s="18" t="s">
        <v>8</v>
      </c>
      <c r="V3" s="17">
        <f>+P3*13.02%</f>
        <v>259.87919999999997</v>
      </c>
    </row>
    <row r="4" spans="1:22" ht="14.25">
      <c r="A4" s="12">
        <v>1</v>
      </c>
      <c r="B4" s="13" t="s">
        <v>18</v>
      </c>
      <c r="C4" s="14">
        <v>31</v>
      </c>
      <c r="D4" s="15">
        <v>5</v>
      </c>
      <c r="E4" s="16">
        <v>1782</v>
      </c>
      <c r="F4" s="17">
        <v>80</v>
      </c>
      <c r="G4" s="17">
        <v>300</v>
      </c>
      <c r="H4" s="17"/>
      <c r="I4" s="17">
        <v>22.84</v>
      </c>
      <c r="J4" s="17"/>
      <c r="K4" s="17"/>
      <c r="L4" s="17"/>
      <c r="M4" s="17"/>
      <c r="N4" s="17"/>
      <c r="O4" s="16">
        <f t="shared" si="0"/>
        <v>2184.84</v>
      </c>
      <c r="P4" s="16">
        <f t="shared" si="1"/>
        <v>2184.84</v>
      </c>
      <c r="Q4" s="17">
        <f t="shared" si="2"/>
        <v>196.6356</v>
      </c>
      <c r="R4" s="17"/>
      <c r="S4" s="17">
        <f t="shared" si="3"/>
        <v>196.6356</v>
      </c>
      <c r="T4" s="16">
        <f t="shared" si="4"/>
        <v>2381.4756</v>
      </c>
      <c r="U4" s="18" t="s">
        <v>8</v>
      </c>
      <c r="V4" s="17"/>
    </row>
    <row r="5" spans="1:22" ht="14.25">
      <c r="A5" s="12">
        <v>2</v>
      </c>
      <c r="B5" s="13" t="s">
        <v>5</v>
      </c>
      <c r="C5" s="14">
        <v>25</v>
      </c>
      <c r="D5" s="15"/>
      <c r="E5" s="16">
        <v>1666</v>
      </c>
      <c r="F5" s="17">
        <f>75+72</f>
        <v>147</v>
      </c>
      <c r="G5" s="17">
        <v>200</v>
      </c>
      <c r="H5" s="17"/>
      <c r="I5" s="17"/>
      <c r="J5" s="17"/>
      <c r="K5" s="17"/>
      <c r="L5" s="17"/>
      <c r="M5" s="17"/>
      <c r="N5" s="17"/>
      <c r="O5" s="16">
        <f t="shared" si="0"/>
        <v>2013</v>
      </c>
      <c r="P5" s="16">
        <f t="shared" si="1"/>
        <v>2013</v>
      </c>
      <c r="Q5" s="17">
        <f t="shared" si="2"/>
        <v>181.17</v>
      </c>
      <c r="R5" s="17"/>
      <c r="S5" s="17">
        <f t="shared" si="3"/>
        <v>181.17</v>
      </c>
      <c r="T5" s="16">
        <f t="shared" si="4"/>
        <v>2194.17</v>
      </c>
      <c r="U5" s="18" t="s">
        <v>8</v>
      </c>
      <c r="V5" s="17">
        <f>+P5*13.02%</f>
        <v>262.09259999999995</v>
      </c>
    </row>
    <row r="6" spans="1:22" ht="14.25">
      <c r="A6" s="12">
        <v>2</v>
      </c>
      <c r="B6" s="13" t="s">
        <v>0</v>
      </c>
      <c r="C6" s="14">
        <v>74</v>
      </c>
      <c r="D6" s="15">
        <v>5</v>
      </c>
      <c r="E6" s="16">
        <v>1748</v>
      </c>
      <c r="F6" s="17">
        <f>75+92+125.7+188.55+62.85</f>
        <v>544.1</v>
      </c>
      <c r="G6" s="17">
        <v>300</v>
      </c>
      <c r="H6" s="17">
        <v>47.26</v>
      </c>
      <c r="I6" s="17">
        <v>15.28</v>
      </c>
      <c r="J6" s="17"/>
      <c r="K6" s="17"/>
      <c r="L6" s="17"/>
      <c r="M6" s="17">
        <v>92</v>
      </c>
      <c r="N6" s="17"/>
      <c r="O6" s="16">
        <f t="shared" si="0"/>
        <v>2746.6400000000003</v>
      </c>
      <c r="P6" s="16">
        <f t="shared" si="1"/>
        <v>2654.6400000000003</v>
      </c>
      <c r="Q6" s="17">
        <f t="shared" si="2"/>
        <v>238.91760000000002</v>
      </c>
      <c r="R6" s="17"/>
      <c r="S6" s="17">
        <f t="shared" si="3"/>
        <v>238.91760000000002</v>
      </c>
      <c r="T6" s="16">
        <f t="shared" si="4"/>
        <v>2893.5576000000005</v>
      </c>
      <c r="U6" s="18" t="s">
        <v>6</v>
      </c>
      <c r="V6" s="17">
        <f>+P6*12.88%</f>
        <v>341.917632</v>
      </c>
    </row>
    <row r="7" spans="1:22" ht="14.25">
      <c r="A7" s="12">
        <v>3</v>
      </c>
      <c r="B7" s="13" t="s">
        <v>19</v>
      </c>
      <c r="C7" s="14">
        <v>50</v>
      </c>
      <c r="D7" s="15">
        <v>5</v>
      </c>
      <c r="E7" s="16">
        <v>1727</v>
      </c>
      <c r="F7" s="17">
        <f>75+76+240.27+180.2+120.13</f>
        <v>691.6</v>
      </c>
      <c r="G7" s="17">
        <v>150</v>
      </c>
      <c r="H7" s="17"/>
      <c r="I7" s="17"/>
      <c r="J7" s="17"/>
      <c r="K7" s="17"/>
      <c r="L7" s="17"/>
      <c r="M7" s="17">
        <v>69</v>
      </c>
      <c r="N7" s="17"/>
      <c r="O7" s="16">
        <f t="shared" si="0"/>
        <v>2637.6</v>
      </c>
      <c r="P7" s="16">
        <f t="shared" si="1"/>
        <v>2568.6</v>
      </c>
      <c r="Q7" s="17">
        <f t="shared" si="2"/>
        <v>231.17399999999998</v>
      </c>
      <c r="R7" s="17"/>
      <c r="S7" s="17">
        <f t="shared" si="3"/>
        <v>231.17399999999998</v>
      </c>
      <c r="T7" s="16">
        <f t="shared" si="4"/>
        <v>2799.774</v>
      </c>
      <c r="U7" s="18" t="s">
        <v>6</v>
      </c>
      <c r="V7" s="17">
        <f>+P7*12.88%</f>
        <v>330.83567999999997</v>
      </c>
    </row>
    <row r="8" spans="1:22" ht="15" thickBot="1">
      <c r="A8" s="45">
        <v>3</v>
      </c>
      <c r="B8" s="46" t="s">
        <v>2</v>
      </c>
      <c r="C8" s="47">
        <v>72</v>
      </c>
      <c r="D8" s="48">
        <v>5</v>
      </c>
      <c r="E8" s="49">
        <v>1782</v>
      </c>
      <c r="F8" s="50">
        <f>75+76+128.24+192.36+64.12</f>
        <v>535.72</v>
      </c>
      <c r="G8" s="50">
        <v>300</v>
      </c>
      <c r="H8" s="50">
        <v>50.33</v>
      </c>
      <c r="I8" s="50">
        <v>16.27</v>
      </c>
      <c r="J8" s="50"/>
      <c r="K8" s="50"/>
      <c r="L8" s="50"/>
      <c r="M8" s="50">
        <v>80.5</v>
      </c>
      <c r="N8" s="50"/>
      <c r="O8" s="16">
        <f t="shared" si="0"/>
        <v>2764.82</v>
      </c>
      <c r="P8" s="16">
        <f t="shared" si="1"/>
        <v>2684.32</v>
      </c>
      <c r="Q8" s="17">
        <f t="shared" si="2"/>
        <v>241.5888</v>
      </c>
      <c r="R8" s="17"/>
      <c r="S8" s="17">
        <f t="shared" si="3"/>
        <v>241.5888</v>
      </c>
      <c r="T8" s="16">
        <f t="shared" si="4"/>
        <v>2925.9088</v>
      </c>
      <c r="U8" s="18" t="s">
        <v>6</v>
      </c>
      <c r="V8" s="17">
        <f>+P8*12.88%</f>
        <v>345.74041600000004</v>
      </c>
    </row>
    <row r="9" spans="1:22" ht="14.25">
      <c r="A9" s="19">
        <v>1</v>
      </c>
      <c r="B9" s="20" t="s">
        <v>26</v>
      </c>
      <c r="C9" s="21"/>
      <c r="D9" s="22"/>
      <c r="E9" s="23"/>
      <c r="F9" s="24"/>
      <c r="G9" s="24"/>
      <c r="H9" s="24"/>
      <c r="I9" s="24"/>
      <c r="J9" s="24"/>
      <c r="K9" s="24"/>
      <c r="L9" s="24"/>
      <c r="M9" s="24"/>
      <c r="N9" s="24"/>
      <c r="O9" s="16"/>
      <c r="P9" s="16"/>
      <c r="Q9" s="17"/>
      <c r="R9" s="17"/>
      <c r="S9" s="17"/>
      <c r="T9" s="16"/>
      <c r="U9" s="18"/>
      <c r="V9" s="17"/>
    </row>
    <row r="10" spans="1:22" ht="14.25">
      <c r="A10" s="19">
        <v>1</v>
      </c>
      <c r="B10" s="20" t="s">
        <v>20</v>
      </c>
      <c r="C10" s="21"/>
      <c r="D10" s="22"/>
      <c r="E10" s="23">
        <v>1000</v>
      </c>
      <c r="F10" s="24">
        <v>300</v>
      </c>
      <c r="G10" s="24"/>
      <c r="H10" s="24"/>
      <c r="I10" s="24"/>
      <c r="J10" s="24"/>
      <c r="K10" s="24"/>
      <c r="L10" s="24"/>
      <c r="M10" s="24"/>
      <c r="N10" s="24"/>
      <c r="O10" s="16">
        <f>SUM(E10:N10)</f>
        <v>1300</v>
      </c>
      <c r="P10" s="16">
        <f>O10-M10-J10</f>
        <v>1300</v>
      </c>
      <c r="Q10" s="17">
        <f>P10*9%</f>
        <v>117</v>
      </c>
      <c r="R10" s="17"/>
      <c r="S10" s="17">
        <f>Q10+R10</f>
        <v>117</v>
      </c>
      <c r="T10" s="16">
        <f>P10+S10</f>
        <v>1417</v>
      </c>
      <c r="U10" s="18" t="s">
        <v>10</v>
      </c>
      <c r="V10" s="17">
        <f>+P10*13%</f>
        <v>169</v>
      </c>
    </row>
    <row r="11" spans="1:22" ht="15" thickBot="1">
      <c r="A11" s="45">
        <v>2</v>
      </c>
      <c r="B11" s="46" t="s">
        <v>15</v>
      </c>
      <c r="C11" s="47"/>
      <c r="D11" s="48">
        <v>5</v>
      </c>
      <c r="E11" s="49">
        <v>1000</v>
      </c>
      <c r="F11" s="50">
        <v>150</v>
      </c>
      <c r="G11" s="50"/>
      <c r="H11" s="50"/>
      <c r="I11" s="50"/>
      <c r="J11" s="50"/>
      <c r="K11" s="50"/>
      <c r="L11" s="50"/>
      <c r="M11" s="50"/>
      <c r="N11" s="50"/>
      <c r="O11" s="16">
        <f>SUM(E11:N11)</f>
        <v>1150</v>
      </c>
      <c r="P11" s="16">
        <f>O11-M11-J11</f>
        <v>1150</v>
      </c>
      <c r="Q11" s="17">
        <f>P11*9%</f>
        <v>103.5</v>
      </c>
      <c r="R11" s="17"/>
      <c r="S11" s="17">
        <f>Q11+R11</f>
        <v>103.5</v>
      </c>
      <c r="T11" s="16">
        <f>P11+S11</f>
        <v>1253.5</v>
      </c>
      <c r="U11" s="18" t="s">
        <v>10</v>
      </c>
      <c r="V11" s="17">
        <f>+P11*13%</f>
        <v>149.5</v>
      </c>
    </row>
    <row r="12" spans="1:22" ht="13.5">
      <c r="A12" s="19">
        <v>1</v>
      </c>
      <c r="B12" s="20" t="s">
        <v>21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73"/>
      <c r="P12" s="73"/>
      <c r="Q12" s="73"/>
      <c r="R12" s="73"/>
      <c r="S12" s="73"/>
      <c r="T12" s="73"/>
      <c r="U12" s="73"/>
      <c r="V12" s="73"/>
    </row>
    <row r="13" spans="1:22" ht="14.25">
      <c r="A13" s="19">
        <v>1</v>
      </c>
      <c r="B13" s="20" t="s">
        <v>24</v>
      </c>
      <c r="C13" s="68"/>
      <c r="D13" s="70">
        <v>5</v>
      </c>
      <c r="E13" s="71">
        <v>880</v>
      </c>
      <c r="F13" s="72"/>
      <c r="G13" s="72"/>
      <c r="H13" s="72"/>
      <c r="I13" s="72"/>
      <c r="J13" s="72"/>
      <c r="K13" s="72">
        <v>880</v>
      </c>
      <c r="L13" s="72"/>
      <c r="M13" s="72"/>
      <c r="N13" s="72"/>
      <c r="O13" s="71">
        <f>SUM(E13:N13)</f>
        <v>1760</v>
      </c>
      <c r="P13" s="71">
        <f>O13-M13-J13</f>
        <v>1760</v>
      </c>
      <c r="Q13" s="72">
        <f>P13*9%</f>
        <v>158.4</v>
      </c>
      <c r="R13" s="72"/>
      <c r="S13" s="72">
        <f>Q13+R13</f>
        <v>158.4</v>
      </c>
      <c r="T13" s="71">
        <f>P13+S13</f>
        <v>1918.4</v>
      </c>
      <c r="U13" s="74" t="s">
        <v>8</v>
      </c>
      <c r="V13" s="72">
        <f>+P13*13.02%</f>
        <v>229.15199999999996</v>
      </c>
    </row>
    <row r="14" spans="1:2" ht="13.5">
      <c r="A14" s="12">
        <v>3</v>
      </c>
      <c r="B14" s="13" t="s">
        <v>13</v>
      </c>
    </row>
    <row r="15" spans="1:2" ht="13.5">
      <c r="A15" s="12">
        <v>4</v>
      </c>
      <c r="B15" s="13" t="s">
        <v>14</v>
      </c>
    </row>
  </sheetData>
  <sheetProtection/>
  <printOptions/>
  <pageMargins left="0.2755905511811024" right="0.15748031496062992" top="1.09" bottom="0.7480314960629921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A9" sqref="A9:B9"/>
    </sheetView>
  </sheetViews>
  <sheetFormatPr defaultColWidth="11.421875" defaultRowHeight="12.75"/>
  <cols>
    <col min="1" max="1" width="3.421875" style="0" customWidth="1"/>
    <col min="2" max="2" width="24.00390625" style="0" customWidth="1"/>
    <col min="3" max="3" width="3.8515625" style="0" customWidth="1"/>
    <col min="4" max="4" width="4.140625" style="0" customWidth="1"/>
    <col min="5" max="5" width="9.28125" style="0" customWidth="1"/>
    <col min="6" max="6" width="8.57421875" style="0" customWidth="1"/>
    <col min="7" max="7" width="8.421875" style="0" customWidth="1"/>
    <col min="8" max="9" width="7.00390625" style="0" customWidth="1"/>
    <col min="10" max="10" width="6.140625" style="0" customWidth="1"/>
    <col min="11" max="11" width="6.7109375" style="0" customWidth="1"/>
    <col min="12" max="12" width="6.421875" style="0" customWidth="1"/>
    <col min="13" max="13" width="7.421875" style="0" customWidth="1"/>
    <col min="14" max="14" width="7.28125" style="0" customWidth="1"/>
    <col min="15" max="15" width="9.140625" style="0" customWidth="1"/>
    <col min="16" max="16" width="9.28125" style="0" customWidth="1"/>
    <col min="17" max="17" width="8.57421875" style="0" customWidth="1"/>
    <col min="18" max="18" width="5.7109375" style="0" customWidth="1"/>
    <col min="19" max="19" width="8.57421875" style="0" customWidth="1"/>
    <col min="20" max="20" width="9.140625" style="0" customWidth="1"/>
    <col min="21" max="21" width="6.8515625" style="0" customWidth="1"/>
    <col min="22" max="22" width="8.140625" style="0" customWidth="1"/>
  </cols>
  <sheetData>
    <row r="1" spans="1:22" ht="15" thickBot="1">
      <c r="A1" s="45">
        <v>1</v>
      </c>
      <c r="B1" s="46" t="s">
        <v>23</v>
      </c>
      <c r="C1" s="47">
        <v>52</v>
      </c>
      <c r="D1" s="48">
        <v>5</v>
      </c>
      <c r="E1" s="49">
        <v>2500</v>
      </c>
      <c r="F1" s="50"/>
      <c r="G1" s="50"/>
      <c r="H1" s="50"/>
      <c r="I1" s="50"/>
      <c r="J1" s="50"/>
      <c r="K1" s="50"/>
      <c r="L1" s="50"/>
      <c r="M1" s="50"/>
      <c r="N1" s="50"/>
      <c r="O1" s="16">
        <f aca="true" t="shared" si="0" ref="O1:O8">SUM(E1:N1)</f>
        <v>2500</v>
      </c>
      <c r="P1" s="16">
        <f aca="true" t="shared" si="1" ref="P1:P8">O1-M1-J1</f>
        <v>2500</v>
      </c>
      <c r="Q1" s="17">
        <f aca="true" t="shared" si="2" ref="Q1:Q8">P1*9%</f>
        <v>225</v>
      </c>
      <c r="R1" s="17"/>
      <c r="S1" s="17">
        <f aca="true" t="shared" si="3" ref="S1:S8">Q1+R1</f>
        <v>225</v>
      </c>
      <c r="T1" s="16">
        <f aca="true" t="shared" si="4" ref="T1:T8">P1+S1</f>
        <v>2725</v>
      </c>
      <c r="U1" s="18" t="s">
        <v>8</v>
      </c>
      <c r="V1" s="17">
        <f>+P1*13.02%</f>
        <v>325.49999999999994</v>
      </c>
    </row>
    <row r="2" spans="1:22" ht="15" thickBot="1">
      <c r="A2" s="51">
        <v>1</v>
      </c>
      <c r="B2" s="52" t="s">
        <v>1</v>
      </c>
      <c r="C2" s="53">
        <v>50</v>
      </c>
      <c r="D2" s="54">
        <v>5</v>
      </c>
      <c r="E2" s="55">
        <v>1789</v>
      </c>
      <c r="F2" s="56">
        <f>75+92+125.38+188.08+62.69</f>
        <v>543.1500000000001</v>
      </c>
      <c r="G2" s="56">
        <v>300</v>
      </c>
      <c r="H2" s="56"/>
      <c r="I2" s="56">
        <v>16.76</v>
      </c>
      <c r="J2" s="56"/>
      <c r="K2" s="56"/>
      <c r="L2" s="56"/>
      <c r="M2" s="56">
        <v>92</v>
      </c>
      <c r="N2" s="56"/>
      <c r="O2" s="16">
        <f t="shared" si="0"/>
        <v>2740.9100000000003</v>
      </c>
      <c r="P2" s="16">
        <f t="shared" si="1"/>
        <v>2648.9100000000003</v>
      </c>
      <c r="Q2" s="17">
        <f t="shared" si="2"/>
        <v>238.4019</v>
      </c>
      <c r="R2" s="17"/>
      <c r="S2" s="17">
        <f t="shared" si="3"/>
        <v>238.4019</v>
      </c>
      <c r="T2" s="16">
        <f t="shared" si="4"/>
        <v>2887.3119</v>
      </c>
      <c r="U2" s="18" t="s">
        <v>6</v>
      </c>
      <c r="V2" s="17">
        <f>+P2*12.88%</f>
        <v>341.17960800000003</v>
      </c>
    </row>
    <row r="3" spans="1:22" ht="14.25">
      <c r="A3" s="19">
        <v>1</v>
      </c>
      <c r="B3" s="20" t="s">
        <v>4</v>
      </c>
      <c r="C3" s="21">
        <v>24</v>
      </c>
      <c r="D3" s="22"/>
      <c r="E3" s="23">
        <v>1666</v>
      </c>
      <c r="F3" s="24">
        <v>72</v>
      </c>
      <c r="G3" s="24"/>
      <c r="H3" s="24"/>
      <c r="I3" s="24"/>
      <c r="J3" s="24"/>
      <c r="K3" s="24"/>
      <c r="L3" s="24"/>
      <c r="M3" s="24">
        <v>80</v>
      </c>
      <c r="N3" s="24"/>
      <c r="O3" s="16">
        <f t="shared" si="0"/>
        <v>1818</v>
      </c>
      <c r="P3" s="16">
        <f t="shared" si="1"/>
        <v>1738</v>
      </c>
      <c r="Q3" s="17">
        <f t="shared" si="2"/>
        <v>156.42</v>
      </c>
      <c r="R3" s="17"/>
      <c r="S3" s="17">
        <f t="shared" si="3"/>
        <v>156.42</v>
      </c>
      <c r="T3" s="16">
        <f t="shared" si="4"/>
        <v>1894.42</v>
      </c>
      <c r="U3" s="18" t="s">
        <v>8</v>
      </c>
      <c r="V3" s="17">
        <f>+P3*13.02%</f>
        <v>226.28759999999997</v>
      </c>
    </row>
    <row r="4" spans="1:22" ht="14.25">
      <c r="A4" s="12">
        <v>1</v>
      </c>
      <c r="B4" s="13" t="s">
        <v>18</v>
      </c>
      <c r="C4" s="14">
        <v>30</v>
      </c>
      <c r="D4" s="15">
        <v>5</v>
      </c>
      <c r="E4" s="16">
        <v>1782</v>
      </c>
      <c r="F4" s="17">
        <v>68</v>
      </c>
      <c r="G4" s="17">
        <v>300</v>
      </c>
      <c r="H4" s="17"/>
      <c r="I4" s="17">
        <v>22.84</v>
      </c>
      <c r="J4" s="17"/>
      <c r="K4" s="17"/>
      <c r="L4" s="17"/>
      <c r="M4" s="17"/>
      <c r="N4" s="17"/>
      <c r="O4" s="16">
        <f t="shared" si="0"/>
        <v>2172.84</v>
      </c>
      <c r="P4" s="16">
        <f t="shared" si="1"/>
        <v>2172.84</v>
      </c>
      <c r="Q4" s="17">
        <f t="shared" si="2"/>
        <v>195.5556</v>
      </c>
      <c r="R4" s="17"/>
      <c r="S4" s="17">
        <f t="shared" si="3"/>
        <v>195.5556</v>
      </c>
      <c r="T4" s="16">
        <f t="shared" si="4"/>
        <v>2368.3956000000003</v>
      </c>
      <c r="U4" s="18" t="s">
        <v>8</v>
      </c>
      <c r="V4" s="17"/>
    </row>
    <row r="5" spans="1:22" ht="14.25">
      <c r="A5" s="12">
        <v>2</v>
      </c>
      <c r="B5" s="13" t="s">
        <v>5</v>
      </c>
      <c r="C5" s="14">
        <v>23</v>
      </c>
      <c r="D5" s="15"/>
      <c r="E5" s="16">
        <v>1666</v>
      </c>
      <c r="F5" s="17">
        <f>75+72</f>
        <v>147</v>
      </c>
      <c r="G5" s="17">
        <v>200</v>
      </c>
      <c r="H5" s="17"/>
      <c r="I5" s="17"/>
      <c r="J5" s="17"/>
      <c r="K5" s="17"/>
      <c r="L5" s="17"/>
      <c r="M5" s="17"/>
      <c r="N5" s="17"/>
      <c r="O5" s="16">
        <f t="shared" si="0"/>
        <v>2013</v>
      </c>
      <c r="P5" s="16">
        <f t="shared" si="1"/>
        <v>2013</v>
      </c>
      <c r="Q5" s="17">
        <f t="shared" si="2"/>
        <v>181.17</v>
      </c>
      <c r="R5" s="17"/>
      <c r="S5" s="17">
        <f t="shared" si="3"/>
        <v>181.17</v>
      </c>
      <c r="T5" s="16">
        <f t="shared" si="4"/>
        <v>2194.17</v>
      </c>
      <c r="U5" s="18" t="s">
        <v>8</v>
      </c>
      <c r="V5" s="17">
        <f>+P5*13.02%</f>
        <v>262.09259999999995</v>
      </c>
    </row>
    <row r="6" spans="1:22" ht="14.25">
      <c r="A6" s="12">
        <v>2</v>
      </c>
      <c r="B6" s="13" t="s">
        <v>0</v>
      </c>
      <c r="C6" s="14">
        <v>72</v>
      </c>
      <c r="D6" s="15">
        <v>5</v>
      </c>
      <c r="E6" s="16">
        <v>1748</v>
      </c>
      <c r="F6" s="17">
        <f>75+96+125.7+251.41+62.85</f>
        <v>610.96</v>
      </c>
      <c r="G6" s="17">
        <v>300</v>
      </c>
      <c r="H6" s="17">
        <v>47.26</v>
      </c>
      <c r="I6" s="17">
        <v>15.28</v>
      </c>
      <c r="J6" s="17"/>
      <c r="K6" s="17"/>
      <c r="L6" s="17"/>
      <c r="M6" s="17">
        <v>92</v>
      </c>
      <c r="N6" s="17"/>
      <c r="O6" s="16">
        <f t="shared" si="0"/>
        <v>2813.5000000000005</v>
      </c>
      <c r="P6" s="16">
        <f t="shared" si="1"/>
        <v>2721.5000000000005</v>
      </c>
      <c r="Q6" s="17">
        <f t="shared" si="2"/>
        <v>244.93500000000003</v>
      </c>
      <c r="R6" s="17"/>
      <c r="S6" s="17">
        <f t="shared" si="3"/>
        <v>244.93500000000003</v>
      </c>
      <c r="T6" s="16">
        <f t="shared" si="4"/>
        <v>2966.4350000000004</v>
      </c>
      <c r="U6" s="18" t="s">
        <v>6</v>
      </c>
      <c r="V6" s="17">
        <f>+P6*12.88%</f>
        <v>350.52920000000006</v>
      </c>
    </row>
    <row r="7" spans="1:22" ht="14.25">
      <c r="A7" s="12">
        <v>3</v>
      </c>
      <c r="B7" s="13" t="s">
        <v>19</v>
      </c>
      <c r="C7" s="14">
        <v>59</v>
      </c>
      <c r="D7" s="15">
        <v>5</v>
      </c>
      <c r="E7" s="16">
        <v>1727</v>
      </c>
      <c r="F7" s="17">
        <f>75+92+120.13+240.27+60.07</f>
        <v>587.47</v>
      </c>
      <c r="G7" s="17">
        <v>150</v>
      </c>
      <c r="H7" s="17"/>
      <c r="I7" s="17"/>
      <c r="J7" s="17"/>
      <c r="K7" s="17"/>
      <c r="L7" s="17"/>
      <c r="M7" s="17">
        <v>92</v>
      </c>
      <c r="N7" s="17"/>
      <c r="O7" s="16">
        <f t="shared" si="0"/>
        <v>2556.4700000000003</v>
      </c>
      <c r="P7" s="16">
        <f t="shared" si="1"/>
        <v>2464.4700000000003</v>
      </c>
      <c r="Q7" s="17">
        <f t="shared" si="2"/>
        <v>221.8023</v>
      </c>
      <c r="R7" s="17"/>
      <c r="S7" s="17">
        <f t="shared" si="3"/>
        <v>221.8023</v>
      </c>
      <c r="T7" s="16">
        <f t="shared" si="4"/>
        <v>2686.2723</v>
      </c>
      <c r="U7" s="18" t="s">
        <v>6</v>
      </c>
      <c r="V7" s="17">
        <f>+P7*12.88%</f>
        <v>317.423736</v>
      </c>
    </row>
    <row r="8" spans="1:22" ht="15" thickBot="1">
      <c r="A8" s="45">
        <v>3</v>
      </c>
      <c r="B8" s="46" t="s">
        <v>2</v>
      </c>
      <c r="C8" s="47">
        <v>71</v>
      </c>
      <c r="D8" s="48">
        <v>5</v>
      </c>
      <c r="E8" s="49">
        <v>1782</v>
      </c>
      <c r="F8" s="50">
        <f>75+92+256.48</f>
        <v>423.48</v>
      </c>
      <c r="G8" s="50">
        <v>300</v>
      </c>
      <c r="H8" s="50">
        <v>50.33</v>
      </c>
      <c r="I8" s="50">
        <v>16.27</v>
      </c>
      <c r="J8" s="50"/>
      <c r="K8" s="50"/>
      <c r="L8" s="50"/>
      <c r="M8" s="50">
        <v>80.5</v>
      </c>
      <c r="N8" s="50"/>
      <c r="O8" s="16">
        <f t="shared" si="0"/>
        <v>2652.58</v>
      </c>
      <c r="P8" s="16">
        <f t="shared" si="1"/>
        <v>2572.08</v>
      </c>
      <c r="Q8" s="17">
        <f t="shared" si="2"/>
        <v>231.48719999999997</v>
      </c>
      <c r="R8" s="17"/>
      <c r="S8" s="17">
        <f t="shared" si="3"/>
        <v>231.48719999999997</v>
      </c>
      <c r="T8" s="16">
        <f t="shared" si="4"/>
        <v>2803.5672</v>
      </c>
      <c r="U8" s="18" t="s">
        <v>6</v>
      </c>
      <c r="V8" s="17">
        <f>+P8*12.88%</f>
        <v>331.283904</v>
      </c>
    </row>
    <row r="9" spans="1:22" ht="14.25">
      <c r="A9" s="19">
        <v>1</v>
      </c>
      <c r="B9" s="20" t="s">
        <v>26</v>
      </c>
      <c r="C9" s="21"/>
      <c r="D9" s="22"/>
      <c r="E9" s="23"/>
      <c r="F9" s="24"/>
      <c r="G9" s="24"/>
      <c r="H9" s="24"/>
      <c r="I9" s="24"/>
      <c r="J9" s="24"/>
      <c r="K9" s="24"/>
      <c r="L9" s="24"/>
      <c r="M9" s="24"/>
      <c r="N9" s="24"/>
      <c r="O9" s="16"/>
      <c r="P9" s="16"/>
      <c r="Q9" s="17"/>
      <c r="R9" s="17"/>
      <c r="S9" s="17"/>
      <c r="T9" s="16"/>
      <c r="U9" s="18"/>
      <c r="V9" s="17"/>
    </row>
    <row r="10" spans="1:22" ht="14.25">
      <c r="A10" s="19">
        <v>1</v>
      </c>
      <c r="B10" s="20" t="s">
        <v>20</v>
      </c>
      <c r="C10" s="21"/>
      <c r="D10" s="22"/>
      <c r="E10" s="23">
        <v>1000</v>
      </c>
      <c r="F10" s="24">
        <v>75</v>
      </c>
      <c r="G10" s="24"/>
      <c r="H10" s="24"/>
      <c r="I10" s="24"/>
      <c r="J10" s="24"/>
      <c r="K10" s="24"/>
      <c r="L10" s="24"/>
      <c r="M10" s="24"/>
      <c r="N10" s="24"/>
      <c r="O10" s="16">
        <f>SUM(E10:N10)</f>
        <v>1075</v>
      </c>
      <c r="P10" s="16">
        <f>O10-M10-J10</f>
        <v>1075</v>
      </c>
      <c r="Q10" s="17">
        <f>P10*9%</f>
        <v>96.75</v>
      </c>
      <c r="R10" s="17"/>
      <c r="S10" s="17">
        <f>Q10+R10</f>
        <v>96.75</v>
      </c>
      <c r="T10" s="16">
        <f>P10+S10</f>
        <v>1171.75</v>
      </c>
      <c r="U10" s="18" t="s">
        <v>10</v>
      </c>
      <c r="V10" s="17">
        <f>+P10*13%</f>
        <v>139.75</v>
      </c>
    </row>
    <row r="11" spans="1:22" ht="15" thickBot="1">
      <c r="A11" s="45">
        <v>2</v>
      </c>
      <c r="B11" s="46" t="s">
        <v>15</v>
      </c>
      <c r="C11" s="47"/>
      <c r="D11" s="48">
        <v>5</v>
      </c>
      <c r="E11" s="49">
        <v>1000</v>
      </c>
      <c r="F11" s="50">
        <f>300+150</f>
        <v>450</v>
      </c>
      <c r="G11" s="50"/>
      <c r="H11" s="50"/>
      <c r="I11" s="50"/>
      <c r="J11" s="50"/>
      <c r="K11" s="50"/>
      <c r="L11" s="50"/>
      <c r="M11" s="50"/>
      <c r="N11" s="50"/>
      <c r="O11" s="16">
        <f>SUM(E11:N11)</f>
        <v>1450</v>
      </c>
      <c r="P11" s="16">
        <f>O11-M11-J11</f>
        <v>1450</v>
      </c>
      <c r="Q11" s="17">
        <f>P11*9%</f>
        <v>130.5</v>
      </c>
      <c r="R11" s="17"/>
      <c r="S11" s="17">
        <f>Q11+R11</f>
        <v>130.5</v>
      </c>
      <c r="T11" s="16">
        <f>P11+S11</f>
        <v>1580.5</v>
      </c>
      <c r="U11" s="18" t="s">
        <v>10</v>
      </c>
      <c r="V11" s="17">
        <f>+P11*13%</f>
        <v>188.5</v>
      </c>
    </row>
    <row r="12" spans="1:22" ht="14.25">
      <c r="A12" s="19">
        <v>1</v>
      </c>
      <c r="B12" s="20" t="s">
        <v>12</v>
      </c>
      <c r="C12" s="21"/>
      <c r="D12" s="22"/>
      <c r="E12" s="23">
        <v>750</v>
      </c>
      <c r="F12" s="24">
        <v>75</v>
      </c>
      <c r="G12" s="24"/>
      <c r="H12" s="24"/>
      <c r="I12" s="24"/>
      <c r="J12" s="24"/>
      <c r="K12" s="24"/>
      <c r="L12" s="24"/>
      <c r="M12" s="24"/>
      <c r="N12" s="24"/>
      <c r="O12" s="16">
        <f>SUM(E12:N12)</f>
        <v>825</v>
      </c>
      <c r="P12" s="16">
        <f>O12-M12-J12</f>
        <v>825</v>
      </c>
      <c r="Q12" s="17">
        <f>P12*9%</f>
        <v>74.25</v>
      </c>
      <c r="R12" s="17"/>
      <c r="S12" s="17">
        <f>Q12+R12</f>
        <v>74.25</v>
      </c>
      <c r="T12" s="16">
        <f>P12+S12</f>
        <v>899.25</v>
      </c>
      <c r="U12" s="18" t="s">
        <v>10</v>
      </c>
      <c r="V12" s="17">
        <f>+P12*13%</f>
        <v>107.25</v>
      </c>
    </row>
    <row r="13" spans="1:22" ht="14.25">
      <c r="A13" s="25">
        <v>2</v>
      </c>
      <c r="B13" s="26" t="s">
        <v>11</v>
      </c>
      <c r="C13" s="27"/>
      <c r="D13" s="28">
        <v>5</v>
      </c>
      <c r="E13" s="29">
        <v>880</v>
      </c>
      <c r="F13" s="30">
        <f>84+117.33+88+58.67</f>
        <v>348</v>
      </c>
      <c r="G13" s="30"/>
      <c r="H13" s="30"/>
      <c r="I13" s="30"/>
      <c r="J13" s="30"/>
      <c r="K13" s="30"/>
      <c r="L13" s="30"/>
      <c r="M13" s="30">
        <v>80.5</v>
      </c>
      <c r="N13" s="30"/>
      <c r="O13" s="29">
        <f>SUM(E13:N13)</f>
        <v>1308.5</v>
      </c>
      <c r="P13" s="29">
        <f>O13-M13-J13</f>
        <v>1228</v>
      </c>
      <c r="Q13" s="30">
        <f>P13*9%</f>
        <v>110.52</v>
      </c>
      <c r="R13" s="30"/>
      <c r="S13" s="30">
        <f>Q13+R13</f>
        <v>110.52</v>
      </c>
      <c r="T13" s="29">
        <f>P13+S13</f>
        <v>1338.52</v>
      </c>
      <c r="U13" s="31" t="s">
        <v>8</v>
      </c>
      <c r="V13" s="30">
        <f>+P13*13.02%</f>
        <v>159.88559999999998</v>
      </c>
    </row>
    <row r="14" spans="1:22" ht="13.5">
      <c r="A14" s="19">
        <v>3</v>
      </c>
      <c r="B14" s="20" t="s">
        <v>13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75"/>
      <c r="P14" s="75"/>
      <c r="Q14" s="75"/>
      <c r="R14" s="69"/>
      <c r="S14" s="75"/>
      <c r="T14" s="75"/>
      <c r="U14" s="69"/>
      <c r="V14" s="73"/>
    </row>
    <row r="15" spans="1:22" ht="14.25">
      <c r="A15" s="12">
        <v>3</v>
      </c>
      <c r="B15" s="13" t="s">
        <v>14</v>
      </c>
      <c r="C15" s="68"/>
      <c r="D15" s="70"/>
      <c r="E15" s="71">
        <v>750</v>
      </c>
      <c r="F15" s="72">
        <v>75</v>
      </c>
      <c r="G15" s="72"/>
      <c r="H15" s="72"/>
      <c r="I15" s="72"/>
      <c r="J15" s="72"/>
      <c r="K15" s="72"/>
      <c r="L15" s="72"/>
      <c r="M15" s="72"/>
      <c r="N15" s="72"/>
      <c r="O15" s="71">
        <f>SUM(E15:N15)</f>
        <v>825</v>
      </c>
      <c r="P15" s="71">
        <f>O15-M15-J15</f>
        <v>825</v>
      </c>
      <c r="Q15" s="72">
        <f>P15*9%</f>
        <v>74.25</v>
      </c>
      <c r="R15" s="72"/>
      <c r="S15" s="72">
        <f>Q15+R15</f>
        <v>74.25</v>
      </c>
      <c r="T15" s="71">
        <f>P15+S15</f>
        <v>899.25</v>
      </c>
      <c r="U15" s="74" t="s">
        <v>10</v>
      </c>
      <c r="V15" s="72">
        <f>+P15*13%</f>
        <v>107.25</v>
      </c>
    </row>
  </sheetData>
  <sheetProtection/>
  <printOptions/>
  <pageMargins left="0.49" right="0.1968503937007874" top="0.48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A9" sqref="A9:B9"/>
    </sheetView>
  </sheetViews>
  <sheetFormatPr defaultColWidth="11.421875" defaultRowHeight="12.75"/>
  <cols>
    <col min="1" max="1" width="3.28125" style="0" customWidth="1"/>
    <col min="2" max="2" width="24.00390625" style="0" customWidth="1"/>
    <col min="3" max="3" width="4.28125" style="0" customWidth="1"/>
    <col min="4" max="4" width="4.00390625" style="0" customWidth="1"/>
    <col min="5" max="5" width="9.140625" style="0" customWidth="1"/>
    <col min="6" max="7" width="8.28125" style="0" customWidth="1"/>
    <col min="8" max="9" width="6.00390625" style="0" customWidth="1"/>
    <col min="10" max="10" width="9.28125" style="0" customWidth="1"/>
    <col min="11" max="11" width="8.421875" style="0" customWidth="1"/>
    <col min="12" max="12" width="5.00390625" style="0" customWidth="1"/>
    <col min="13" max="13" width="6.8515625" style="0" customWidth="1"/>
    <col min="14" max="14" width="5.00390625" style="0" customWidth="1"/>
    <col min="15" max="16" width="9.140625" style="0" customWidth="1"/>
    <col min="17" max="17" width="8.140625" style="0" customWidth="1"/>
    <col min="18" max="18" width="5.00390625" style="0" customWidth="1"/>
    <col min="19" max="19" width="8.140625" style="0" customWidth="1"/>
    <col min="20" max="20" width="9.140625" style="0" customWidth="1"/>
    <col min="21" max="21" width="7.421875" style="0" customWidth="1"/>
    <col min="22" max="22" width="8.140625" style="0" customWidth="1"/>
  </cols>
  <sheetData>
    <row r="1" spans="1:22" ht="15" thickBot="1">
      <c r="A1" s="45">
        <v>1</v>
      </c>
      <c r="B1" s="46" t="s">
        <v>23</v>
      </c>
      <c r="C1" s="47">
        <v>49</v>
      </c>
      <c r="D1" s="48">
        <v>5</v>
      </c>
      <c r="E1" s="49">
        <v>2500</v>
      </c>
      <c r="F1" s="50"/>
      <c r="G1" s="50"/>
      <c r="H1" s="50"/>
      <c r="I1" s="50"/>
      <c r="J1" s="50">
        <v>2467.64</v>
      </c>
      <c r="K1" s="50"/>
      <c r="L1" s="50"/>
      <c r="M1" s="50"/>
      <c r="N1" s="50"/>
      <c r="O1" s="16">
        <f aca="true" t="shared" si="0" ref="O1:O8">SUM(E1:N1)</f>
        <v>4967.639999999999</v>
      </c>
      <c r="P1" s="16">
        <f aca="true" t="shared" si="1" ref="P1:P8">O1-M1-J1</f>
        <v>2499.9999999999995</v>
      </c>
      <c r="Q1" s="17">
        <f aca="true" t="shared" si="2" ref="Q1:Q8">P1*9%</f>
        <v>224.99999999999994</v>
      </c>
      <c r="R1" s="17"/>
      <c r="S1" s="17">
        <f aca="true" t="shared" si="3" ref="S1:S8">Q1+R1</f>
        <v>224.99999999999994</v>
      </c>
      <c r="T1" s="16">
        <f aca="true" t="shared" si="4" ref="T1:T8">P1+S1</f>
        <v>2724.9999999999995</v>
      </c>
      <c r="U1" s="18" t="s">
        <v>8</v>
      </c>
      <c r="V1" s="17">
        <f>+P1*13.02%</f>
        <v>325.4999999999999</v>
      </c>
    </row>
    <row r="2" spans="1:22" ht="15" thickBot="1">
      <c r="A2" s="51">
        <v>1</v>
      </c>
      <c r="B2" s="52" t="s">
        <v>1</v>
      </c>
      <c r="C2" s="53">
        <v>58</v>
      </c>
      <c r="D2" s="54">
        <v>5</v>
      </c>
      <c r="E2" s="55">
        <v>1789</v>
      </c>
      <c r="F2" s="56">
        <f>75+48</f>
        <v>123</v>
      </c>
      <c r="G2" s="56">
        <v>300</v>
      </c>
      <c r="H2" s="56"/>
      <c r="I2" s="56">
        <v>16.76</v>
      </c>
      <c r="J2" s="56">
        <v>2050.03</v>
      </c>
      <c r="K2" s="56"/>
      <c r="L2" s="56"/>
      <c r="M2" s="56"/>
      <c r="N2" s="56"/>
      <c r="O2" s="16">
        <f t="shared" si="0"/>
        <v>4278.790000000001</v>
      </c>
      <c r="P2" s="16">
        <f t="shared" si="1"/>
        <v>2228.7600000000007</v>
      </c>
      <c r="Q2" s="17">
        <f t="shared" si="2"/>
        <v>200.58840000000006</v>
      </c>
      <c r="R2" s="17"/>
      <c r="S2" s="17">
        <f t="shared" si="3"/>
        <v>200.58840000000006</v>
      </c>
      <c r="T2" s="16">
        <f t="shared" si="4"/>
        <v>2429.3484000000008</v>
      </c>
      <c r="U2" s="18" t="s">
        <v>6</v>
      </c>
      <c r="V2" s="17">
        <f>+P2*12.88%</f>
        <v>287.0642880000001</v>
      </c>
    </row>
    <row r="3" spans="1:22" ht="14.25">
      <c r="A3" s="19">
        <v>1</v>
      </c>
      <c r="B3" s="20" t="s">
        <v>4</v>
      </c>
      <c r="C3" s="21">
        <v>26</v>
      </c>
      <c r="D3" s="22"/>
      <c r="E3" s="23">
        <v>1666</v>
      </c>
      <c r="F3" s="24">
        <v>76</v>
      </c>
      <c r="G3" s="24">
        <v>250</v>
      </c>
      <c r="H3" s="24"/>
      <c r="I3" s="24"/>
      <c r="J3" s="24">
        <v>1815.94</v>
      </c>
      <c r="K3" s="24"/>
      <c r="L3" s="24"/>
      <c r="M3" s="24">
        <v>80</v>
      </c>
      <c r="N3" s="24"/>
      <c r="O3" s="16">
        <f t="shared" si="0"/>
        <v>3887.94</v>
      </c>
      <c r="P3" s="16">
        <f t="shared" si="1"/>
        <v>1992</v>
      </c>
      <c r="Q3" s="17">
        <f t="shared" si="2"/>
        <v>179.28</v>
      </c>
      <c r="R3" s="17"/>
      <c r="S3" s="17">
        <f t="shared" si="3"/>
        <v>179.28</v>
      </c>
      <c r="T3" s="16">
        <f t="shared" si="4"/>
        <v>2171.28</v>
      </c>
      <c r="U3" s="18" t="s">
        <v>8</v>
      </c>
      <c r="V3" s="17">
        <f>+P3*13.02%</f>
        <v>259.35839999999996</v>
      </c>
    </row>
    <row r="4" spans="1:22" ht="14.25">
      <c r="A4" s="12">
        <v>1</v>
      </c>
      <c r="B4" s="13" t="s">
        <v>18</v>
      </c>
      <c r="C4" s="14">
        <v>31</v>
      </c>
      <c r="D4" s="15">
        <v>5</v>
      </c>
      <c r="E4" s="16">
        <v>1782</v>
      </c>
      <c r="F4" s="17">
        <v>84</v>
      </c>
      <c r="G4" s="17">
        <v>300</v>
      </c>
      <c r="H4" s="17"/>
      <c r="I4" s="17">
        <v>22.84</v>
      </c>
      <c r="J4" s="17">
        <v>1967.28</v>
      </c>
      <c r="K4" s="17"/>
      <c r="L4" s="17"/>
      <c r="M4" s="17"/>
      <c r="N4" s="17"/>
      <c r="O4" s="16">
        <f t="shared" si="0"/>
        <v>4156.12</v>
      </c>
      <c r="P4" s="16">
        <f t="shared" si="1"/>
        <v>2188.84</v>
      </c>
      <c r="Q4" s="17">
        <f t="shared" si="2"/>
        <v>196.9956</v>
      </c>
      <c r="R4" s="17"/>
      <c r="S4" s="17">
        <f t="shared" si="3"/>
        <v>196.9956</v>
      </c>
      <c r="T4" s="16">
        <f t="shared" si="4"/>
        <v>2385.8356000000003</v>
      </c>
      <c r="U4" s="18" t="s">
        <v>8</v>
      </c>
      <c r="V4" s="17"/>
    </row>
    <row r="5" spans="1:22" ht="14.25">
      <c r="A5" s="12">
        <v>2</v>
      </c>
      <c r="B5" s="13" t="s">
        <v>5</v>
      </c>
      <c r="C5" s="14">
        <v>23</v>
      </c>
      <c r="D5" s="15"/>
      <c r="E5" s="16">
        <v>1666</v>
      </c>
      <c r="F5" s="17">
        <f>75+80</f>
        <v>155</v>
      </c>
      <c r="G5" s="17">
        <v>200</v>
      </c>
      <c r="H5" s="17"/>
      <c r="I5" s="17"/>
      <c r="J5" s="17">
        <v>1897.69</v>
      </c>
      <c r="K5" s="17"/>
      <c r="L5" s="17"/>
      <c r="M5" s="17"/>
      <c r="N5" s="17"/>
      <c r="O5" s="16">
        <f t="shared" si="0"/>
        <v>3918.69</v>
      </c>
      <c r="P5" s="16">
        <f t="shared" si="1"/>
        <v>2021</v>
      </c>
      <c r="Q5" s="17">
        <f t="shared" si="2"/>
        <v>181.89</v>
      </c>
      <c r="R5" s="17"/>
      <c r="S5" s="17">
        <f t="shared" si="3"/>
        <v>181.89</v>
      </c>
      <c r="T5" s="16">
        <f t="shared" si="4"/>
        <v>2202.89</v>
      </c>
      <c r="U5" s="18" t="s">
        <v>8</v>
      </c>
      <c r="V5" s="17">
        <f>+P5*13.02%</f>
        <v>263.13419999999996</v>
      </c>
    </row>
    <row r="6" spans="1:22" ht="14.25">
      <c r="A6" s="12">
        <v>2</v>
      </c>
      <c r="B6" s="13" t="s">
        <v>0</v>
      </c>
      <c r="C6" s="14">
        <v>57</v>
      </c>
      <c r="D6" s="15">
        <v>5</v>
      </c>
      <c r="E6" s="16">
        <v>1748</v>
      </c>
      <c r="F6" s="17">
        <f>75+88+125.7+188.55+62.85</f>
        <v>540.1</v>
      </c>
      <c r="G6" s="17">
        <v>300</v>
      </c>
      <c r="H6" s="17">
        <v>47.26</v>
      </c>
      <c r="I6" s="17">
        <v>15.28</v>
      </c>
      <c r="J6" s="17">
        <v>2123.75</v>
      </c>
      <c r="K6" s="17"/>
      <c r="L6" s="17"/>
      <c r="M6" s="17">
        <v>80.5</v>
      </c>
      <c r="N6" s="17"/>
      <c r="O6" s="16">
        <f t="shared" si="0"/>
        <v>4854.89</v>
      </c>
      <c r="P6" s="16">
        <f t="shared" si="1"/>
        <v>2650.6400000000003</v>
      </c>
      <c r="Q6" s="17">
        <f t="shared" si="2"/>
        <v>238.5576</v>
      </c>
      <c r="R6" s="17"/>
      <c r="S6" s="17">
        <f t="shared" si="3"/>
        <v>238.5576</v>
      </c>
      <c r="T6" s="16">
        <f t="shared" si="4"/>
        <v>2889.1976000000004</v>
      </c>
      <c r="U6" s="18" t="s">
        <v>6</v>
      </c>
      <c r="V6" s="17">
        <f>+P6*12.88%</f>
        <v>341.40243200000003</v>
      </c>
    </row>
    <row r="7" spans="1:22" ht="14.25">
      <c r="A7" s="12">
        <v>3</v>
      </c>
      <c r="B7" s="13" t="s">
        <v>19</v>
      </c>
      <c r="C7" s="14">
        <v>44</v>
      </c>
      <c r="D7" s="15">
        <v>5</v>
      </c>
      <c r="E7" s="16">
        <v>1727</v>
      </c>
      <c r="F7" s="17">
        <f>75+92+240.27+180.2+120.13</f>
        <v>707.6</v>
      </c>
      <c r="G7" s="17">
        <v>150</v>
      </c>
      <c r="H7" s="17"/>
      <c r="I7" s="17"/>
      <c r="J7" s="17">
        <v>2030.56</v>
      </c>
      <c r="K7" s="17"/>
      <c r="L7" s="17"/>
      <c r="M7" s="17">
        <v>92</v>
      </c>
      <c r="N7" s="17"/>
      <c r="O7" s="16">
        <f t="shared" si="0"/>
        <v>4707.16</v>
      </c>
      <c r="P7" s="16">
        <f t="shared" si="1"/>
        <v>2584.6</v>
      </c>
      <c r="Q7" s="17">
        <f t="shared" si="2"/>
        <v>232.61399999999998</v>
      </c>
      <c r="R7" s="17"/>
      <c r="S7" s="17">
        <f t="shared" si="3"/>
        <v>232.61399999999998</v>
      </c>
      <c r="T7" s="16">
        <f t="shared" si="4"/>
        <v>2817.214</v>
      </c>
      <c r="U7" s="18" t="s">
        <v>6</v>
      </c>
      <c r="V7" s="17">
        <f>+P7*12.88%</f>
        <v>332.89648</v>
      </c>
    </row>
    <row r="8" spans="1:22" ht="15" thickBot="1">
      <c r="A8" s="45">
        <v>3</v>
      </c>
      <c r="B8" s="46" t="s">
        <v>2</v>
      </c>
      <c r="C8" s="47">
        <v>71</v>
      </c>
      <c r="D8" s="48">
        <v>5</v>
      </c>
      <c r="E8" s="49">
        <v>1782</v>
      </c>
      <c r="F8" s="50">
        <v>75</v>
      </c>
      <c r="G8" s="50">
        <v>300</v>
      </c>
      <c r="H8" s="50">
        <v>50.33</v>
      </c>
      <c r="I8" s="50">
        <v>16.27</v>
      </c>
      <c r="J8" s="50">
        <v>2096.72</v>
      </c>
      <c r="K8" s="50">
        <v>1923.6</v>
      </c>
      <c r="L8" s="50"/>
      <c r="M8" s="50"/>
      <c r="N8" s="50"/>
      <c r="O8" s="16">
        <f t="shared" si="0"/>
        <v>6243.92</v>
      </c>
      <c r="P8" s="16">
        <f t="shared" si="1"/>
        <v>4147.200000000001</v>
      </c>
      <c r="Q8" s="17">
        <f t="shared" si="2"/>
        <v>373.24800000000005</v>
      </c>
      <c r="R8" s="17"/>
      <c r="S8" s="17">
        <f t="shared" si="3"/>
        <v>373.24800000000005</v>
      </c>
      <c r="T8" s="16">
        <f t="shared" si="4"/>
        <v>4520.448</v>
      </c>
      <c r="U8" s="18" t="s">
        <v>6</v>
      </c>
      <c r="V8" s="17">
        <f>+P8*12.88%</f>
        <v>534.1593600000001</v>
      </c>
    </row>
    <row r="9" spans="1:22" ht="14.25">
      <c r="A9" s="19">
        <v>1</v>
      </c>
      <c r="B9" s="20" t="s">
        <v>26</v>
      </c>
      <c r="C9" s="21"/>
      <c r="D9" s="22"/>
      <c r="E9" s="23"/>
      <c r="F9" s="24"/>
      <c r="G9" s="24"/>
      <c r="H9" s="24"/>
      <c r="I9" s="24"/>
      <c r="J9" s="24"/>
      <c r="K9" s="24"/>
      <c r="L9" s="24"/>
      <c r="M9" s="24"/>
      <c r="N9" s="24"/>
      <c r="O9" s="16"/>
      <c r="P9" s="16"/>
      <c r="Q9" s="17"/>
      <c r="R9" s="17"/>
      <c r="S9" s="17"/>
      <c r="T9" s="16"/>
      <c r="U9" s="18"/>
      <c r="V9" s="17"/>
    </row>
    <row r="10" spans="1:22" ht="14.25">
      <c r="A10" s="19">
        <v>1</v>
      </c>
      <c r="B10" s="20" t="s">
        <v>20</v>
      </c>
      <c r="C10" s="21"/>
      <c r="D10" s="22"/>
      <c r="E10" s="23">
        <v>1000</v>
      </c>
      <c r="F10" s="24">
        <v>75</v>
      </c>
      <c r="G10" s="24"/>
      <c r="H10" s="24"/>
      <c r="I10" s="24"/>
      <c r="J10" s="24">
        <v>971.92</v>
      </c>
      <c r="K10" s="24"/>
      <c r="L10" s="24"/>
      <c r="M10" s="24"/>
      <c r="N10" s="24"/>
      <c r="O10" s="16">
        <f>SUM(E10:N10)</f>
        <v>2046.92</v>
      </c>
      <c r="P10" s="16">
        <f>O10-M10-J10</f>
        <v>1075</v>
      </c>
      <c r="Q10" s="17">
        <f>P10*9%</f>
        <v>96.75</v>
      </c>
      <c r="R10" s="17"/>
      <c r="S10" s="17">
        <f>Q10+R10</f>
        <v>96.75</v>
      </c>
      <c r="T10" s="16">
        <f>P10+S10</f>
        <v>1171.75</v>
      </c>
      <c r="U10" s="18" t="s">
        <v>10</v>
      </c>
      <c r="V10" s="17">
        <f>+P10*13%</f>
        <v>139.75</v>
      </c>
    </row>
    <row r="11" spans="1:22" ht="15" thickBot="1">
      <c r="A11" s="45">
        <v>2</v>
      </c>
      <c r="B11" s="46" t="s">
        <v>15</v>
      </c>
      <c r="C11" s="47"/>
      <c r="D11" s="48">
        <v>5</v>
      </c>
      <c r="E11" s="49">
        <v>1000</v>
      </c>
      <c r="F11" s="50">
        <f>75+150</f>
        <v>225</v>
      </c>
      <c r="G11" s="50"/>
      <c r="H11" s="50"/>
      <c r="I11" s="50"/>
      <c r="J11" s="50">
        <v>1153.58</v>
      </c>
      <c r="K11" s="50"/>
      <c r="L11" s="50"/>
      <c r="M11" s="50"/>
      <c r="N11" s="50"/>
      <c r="O11" s="16">
        <f>SUM(E11:N11)</f>
        <v>2378.58</v>
      </c>
      <c r="P11" s="16">
        <f>O11-M11-J11</f>
        <v>1225</v>
      </c>
      <c r="Q11" s="17">
        <f>P11*9%</f>
        <v>110.25</v>
      </c>
      <c r="R11" s="17"/>
      <c r="S11" s="17">
        <f>Q11+R11</f>
        <v>110.25</v>
      </c>
      <c r="T11" s="16">
        <f>P11+S11</f>
        <v>1335.25</v>
      </c>
      <c r="U11" s="18" t="s">
        <v>10</v>
      </c>
      <c r="V11" s="17">
        <f>+P11*13%</f>
        <v>159.25</v>
      </c>
    </row>
    <row r="12" spans="1:22" ht="14.25">
      <c r="A12" s="19">
        <v>1</v>
      </c>
      <c r="B12" s="20" t="s">
        <v>12</v>
      </c>
      <c r="C12" s="21"/>
      <c r="D12" s="22"/>
      <c r="E12" s="23">
        <v>750</v>
      </c>
      <c r="F12" s="24">
        <f>75+84</f>
        <v>159</v>
      </c>
      <c r="G12" s="24"/>
      <c r="H12" s="24"/>
      <c r="I12" s="24"/>
      <c r="J12" s="24">
        <v>218</v>
      </c>
      <c r="K12" s="24"/>
      <c r="L12" s="24"/>
      <c r="M12" s="24"/>
      <c r="N12" s="24"/>
      <c r="O12" s="16">
        <f>SUM(E12:N12)</f>
        <v>1127</v>
      </c>
      <c r="P12" s="16">
        <f>O12-M12-J12</f>
        <v>909</v>
      </c>
      <c r="Q12" s="17">
        <f>P12*9%</f>
        <v>81.81</v>
      </c>
      <c r="R12" s="17"/>
      <c r="S12" s="17">
        <f>Q12+R12</f>
        <v>81.81</v>
      </c>
      <c r="T12" s="16">
        <f>P12+S12</f>
        <v>990.81</v>
      </c>
      <c r="U12" s="18" t="s">
        <v>10</v>
      </c>
      <c r="V12" s="17">
        <f>+P12*13%</f>
        <v>118.17</v>
      </c>
    </row>
    <row r="13" spans="1:22" ht="14.25">
      <c r="A13" s="25">
        <v>2</v>
      </c>
      <c r="B13" s="26" t="s">
        <v>11</v>
      </c>
      <c r="C13" s="27"/>
      <c r="D13" s="28">
        <v>5</v>
      </c>
      <c r="E13" s="29">
        <v>880</v>
      </c>
      <c r="F13" s="30">
        <f>92+117.33</f>
        <v>209.32999999999998</v>
      </c>
      <c r="G13" s="30"/>
      <c r="H13" s="30"/>
      <c r="I13" s="30"/>
      <c r="J13" s="30">
        <v>1012.49</v>
      </c>
      <c r="K13" s="30"/>
      <c r="L13" s="30"/>
      <c r="M13" s="30">
        <v>80.5</v>
      </c>
      <c r="N13" s="30"/>
      <c r="O13" s="29">
        <f>SUM(E13:N13)</f>
        <v>2182.3199999999997</v>
      </c>
      <c r="P13" s="29">
        <f>O13-M13-J13</f>
        <v>1089.3299999999997</v>
      </c>
      <c r="Q13" s="30">
        <f>P13*9%</f>
        <v>98.03969999999997</v>
      </c>
      <c r="R13" s="30"/>
      <c r="S13" s="30">
        <f>Q13+R13</f>
        <v>98.03969999999997</v>
      </c>
      <c r="T13" s="29">
        <f>P13+S13</f>
        <v>1187.3696999999997</v>
      </c>
      <c r="U13" s="31" t="s">
        <v>8</v>
      </c>
      <c r="V13" s="30">
        <f>+P13*13.02%</f>
        <v>141.83076599999995</v>
      </c>
    </row>
    <row r="14" spans="1:22" ht="13.5">
      <c r="A14" s="19">
        <v>3</v>
      </c>
      <c r="B14" s="20" t="s">
        <v>13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75"/>
      <c r="P14" s="75"/>
      <c r="Q14" s="75"/>
      <c r="R14" s="69"/>
      <c r="S14" s="75"/>
      <c r="T14" s="75"/>
      <c r="U14" s="69"/>
      <c r="V14" s="73"/>
    </row>
    <row r="15" spans="1:22" ht="14.25">
      <c r="A15" s="19">
        <v>3</v>
      </c>
      <c r="B15" s="20" t="s">
        <v>14</v>
      </c>
      <c r="C15" s="68"/>
      <c r="D15" s="70"/>
      <c r="E15" s="71">
        <v>750</v>
      </c>
      <c r="F15" s="72">
        <f>75+84</f>
        <v>159</v>
      </c>
      <c r="G15" s="72"/>
      <c r="H15" s="72"/>
      <c r="I15" s="72"/>
      <c r="J15" s="72">
        <v>218</v>
      </c>
      <c r="K15" s="72"/>
      <c r="L15" s="72"/>
      <c r="M15" s="72"/>
      <c r="N15" s="72"/>
      <c r="O15" s="71">
        <f>SUM(E15:N15)</f>
        <v>1127</v>
      </c>
      <c r="P15" s="71">
        <f>O15-M15-J15</f>
        <v>909</v>
      </c>
      <c r="Q15" s="72">
        <f>P15*9%</f>
        <v>81.81</v>
      </c>
      <c r="R15" s="72"/>
      <c r="S15" s="72">
        <f>Q15+R15</f>
        <v>81.81</v>
      </c>
      <c r="T15" s="71">
        <f>P15+S15</f>
        <v>990.81</v>
      </c>
      <c r="U15" s="74" t="s">
        <v>10</v>
      </c>
      <c r="V15" s="72">
        <f>+P15*13%</f>
        <v>118.17</v>
      </c>
    </row>
  </sheetData>
  <sheetProtection/>
  <printOptions/>
  <pageMargins left="0.17" right="0.17" top="0.33" bottom="0.7480314960629921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A9" sqref="A9:B9"/>
    </sheetView>
  </sheetViews>
  <sheetFormatPr defaultColWidth="11.421875" defaultRowHeight="12.75"/>
  <cols>
    <col min="1" max="1" width="3.57421875" style="0" customWidth="1"/>
    <col min="2" max="2" width="24.140625" style="0" customWidth="1"/>
    <col min="3" max="3" width="4.00390625" style="0" customWidth="1"/>
    <col min="4" max="4" width="4.140625" style="0" customWidth="1"/>
    <col min="5" max="5" width="9.140625" style="0" customWidth="1"/>
    <col min="6" max="6" width="8.421875" style="0" customWidth="1"/>
    <col min="7" max="7" width="8.140625" style="0" customWidth="1"/>
    <col min="8" max="9" width="6.140625" style="0" customWidth="1"/>
    <col min="10" max="10" width="5.140625" style="0" customWidth="1"/>
    <col min="11" max="11" width="8.421875" style="0" customWidth="1"/>
    <col min="12" max="12" width="4.7109375" style="0" customWidth="1"/>
    <col min="13" max="13" width="6.7109375" style="0" customWidth="1"/>
    <col min="14" max="14" width="4.8515625" style="0" customWidth="1"/>
    <col min="15" max="16" width="9.28125" style="0" customWidth="1"/>
    <col min="17" max="17" width="8.421875" style="0" customWidth="1"/>
    <col min="18" max="18" width="5.28125" style="0" customWidth="1"/>
    <col min="19" max="19" width="8.140625" style="0" customWidth="1"/>
    <col min="20" max="20" width="9.140625" style="0" customWidth="1"/>
    <col min="21" max="21" width="7.140625" style="0" customWidth="1"/>
    <col min="22" max="22" width="8.140625" style="0" customWidth="1"/>
  </cols>
  <sheetData>
    <row r="1" spans="1:22" ht="15" thickBot="1">
      <c r="A1" s="45">
        <v>1</v>
      </c>
      <c r="B1" s="46" t="s">
        <v>23</v>
      </c>
      <c r="C1" s="47">
        <v>49</v>
      </c>
      <c r="D1" s="48">
        <v>5</v>
      </c>
      <c r="E1" s="49">
        <v>2500</v>
      </c>
      <c r="F1" s="50"/>
      <c r="G1" s="50"/>
      <c r="H1" s="50"/>
      <c r="I1" s="50"/>
      <c r="J1" s="50"/>
      <c r="K1" s="50"/>
      <c r="L1" s="50"/>
      <c r="M1" s="50"/>
      <c r="N1" s="50"/>
      <c r="O1" s="16">
        <f aca="true" t="shared" si="0" ref="O1:O8">SUM(E1:N1)</f>
        <v>2500</v>
      </c>
      <c r="P1" s="16">
        <f aca="true" t="shared" si="1" ref="P1:P8">O1-M1-J1</f>
        <v>2500</v>
      </c>
      <c r="Q1" s="17">
        <f aca="true" t="shared" si="2" ref="Q1:Q8">P1*9%</f>
        <v>225</v>
      </c>
      <c r="R1" s="17"/>
      <c r="S1" s="17">
        <f aca="true" t="shared" si="3" ref="S1:S8">Q1+R1</f>
        <v>225</v>
      </c>
      <c r="T1" s="16">
        <f aca="true" t="shared" si="4" ref="T1:T8">P1+S1</f>
        <v>2725</v>
      </c>
      <c r="U1" s="18" t="s">
        <v>8</v>
      </c>
      <c r="V1" s="17">
        <f>+P1*13.02%</f>
        <v>325.49999999999994</v>
      </c>
    </row>
    <row r="2" spans="1:22" ht="15" thickBot="1">
      <c r="A2" s="51">
        <v>1</v>
      </c>
      <c r="B2" s="52" t="s">
        <v>1</v>
      </c>
      <c r="C2" s="53">
        <v>52</v>
      </c>
      <c r="D2" s="54">
        <v>5</v>
      </c>
      <c r="E2" s="55">
        <v>1789</v>
      </c>
      <c r="F2" s="56">
        <f>75+84+125.38+188.08+62.69</f>
        <v>535.1500000000001</v>
      </c>
      <c r="G2" s="56">
        <v>300</v>
      </c>
      <c r="H2" s="56"/>
      <c r="I2" s="56">
        <v>16.76</v>
      </c>
      <c r="J2" s="56"/>
      <c r="K2" s="56"/>
      <c r="L2" s="56"/>
      <c r="M2" s="56">
        <v>80.5</v>
      </c>
      <c r="N2" s="56"/>
      <c r="O2" s="16">
        <f t="shared" si="0"/>
        <v>2721.4100000000003</v>
      </c>
      <c r="P2" s="16">
        <f t="shared" si="1"/>
        <v>2640.9100000000003</v>
      </c>
      <c r="Q2" s="17">
        <f t="shared" si="2"/>
        <v>237.6819</v>
      </c>
      <c r="R2" s="17"/>
      <c r="S2" s="17">
        <f t="shared" si="3"/>
        <v>237.6819</v>
      </c>
      <c r="T2" s="16">
        <f t="shared" si="4"/>
        <v>2878.5919000000004</v>
      </c>
      <c r="U2" s="18" t="s">
        <v>6</v>
      </c>
      <c r="V2" s="17">
        <f>+P2*12.88%</f>
        <v>340.14920800000004</v>
      </c>
    </row>
    <row r="3" spans="1:22" ht="14.25">
      <c r="A3" s="19">
        <v>1</v>
      </c>
      <c r="B3" s="20" t="s">
        <v>4</v>
      </c>
      <c r="C3" s="21">
        <v>28</v>
      </c>
      <c r="D3" s="22"/>
      <c r="E3" s="23">
        <v>1666</v>
      </c>
      <c r="F3" s="24">
        <v>76</v>
      </c>
      <c r="G3" s="24">
        <v>250</v>
      </c>
      <c r="H3" s="24"/>
      <c r="I3" s="24"/>
      <c r="J3" s="24"/>
      <c r="K3" s="24"/>
      <c r="L3" s="24"/>
      <c r="M3" s="24">
        <f>69+46.4</f>
        <v>115.4</v>
      </c>
      <c r="N3" s="24"/>
      <c r="O3" s="16">
        <f t="shared" si="0"/>
        <v>2107.4</v>
      </c>
      <c r="P3" s="16">
        <f t="shared" si="1"/>
        <v>1992</v>
      </c>
      <c r="Q3" s="17">
        <f t="shared" si="2"/>
        <v>179.28</v>
      </c>
      <c r="R3" s="17"/>
      <c r="S3" s="17">
        <f t="shared" si="3"/>
        <v>179.28</v>
      </c>
      <c r="T3" s="16">
        <f t="shared" si="4"/>
        <v>2171.28</v>
      </c>
      <c r="U3" s="18" t="s">
        <v>8</v>
      </c>
      <c r="V3" s="17">
        <f>+P3*13.02%</f>
        <v>259.35839999999996</v>
      </c>
    </row>
    <row r="4" spans="1:22" ht="14.25">
      <c r="A4" s="12">
        <v>1</v>
      </c>
      <c r="B4" s="13" t="s">
        <v>18</v>
      </c>
      <c r="C4" s="14">
        <v>31</v>
      </c>
      <c r="D4" s="15">
        <v>5</v>
      </c>
      <c r="E4" s="16">
        <v>1782</v>
      </c>
      <c r="F4" s="17">
        <v>56</v>
      </c>
      <c r="G4" s="17">
        <v>300</v>
      </c>
      <c r="H4" s="17"/>
      <c r="I4" s="17">
        <v>22.84</v>
      </c>
      <c r="J4" s="17"/>
      <c r="K4" s="17"/>
      <c r="L4" s="17"/>
      <c r="M4" s="17"/>
      <c r="N4" s="17"/>
      <c r="O4" s="16">
        <f t="shared" si="0"/>
        <v>2160.84</v>
      </c>
      <c r="P4" s="16">
        <f t="shared" si="1"/>
        <v>2160.84</v>
      </c>
      <c r="Q4" s="17">
        <f t="shared" si="2"/>
        <v>194.47560000000001</v>
      </c>
      <c r="R4" s="17"/>
      <c r="S4" s="17">
        <f t="shared" si="3"/>
        <v>194.47560000000001</v>
      </c>
      <c r="T4" s="16">
        <f t="shared" si="4"/>
        <v>2355.3156000000004</v>
      </c>
      <c r="U4" s="18" t="s">
        <v>8</v>
      </c>
      <c r="V4" s="17"/>
    </row>
    <row r="5" spans="1:22" ht="14.25">
      <c r="A5" s="12">
        <v>2</v>
      </c>
      <c r="B5" s="13" t="s">
        <v>5</v>
      </c>
      <c r="C5" s="14">
        <v>23</v>
      </c>
      <c r="D5" s="15"/>
      <c r="E5" s="16">
        <v>1666</v>
      </c>
      <c r="F5" s="17">
        <f>75+76+58.03</f>
        <v>209.03</v>
      </c>
      <c r="G5" s="17">
        <v>200</v>
      </c>
      <c r="H5" s="17"/>
      <c r="I5" s="17"/>
      <c r="J5" s="17"/>
      <c r="K5" s="17"/>
      <c r="L5" s="17"/>
      <c r="M5" s="17">
        <v>11.5</v>
      </c>
      <c r="N5" s="17"/>
      <c r="O5" s="16">
        <f t="shared" si="0"/>
        <v>2086.5299999999997</v>
      </c>
      <c r="P5" s="16">
        <f t="shared" si="1"/>
        <v>2075.0299999999997</v>
      </c>
      <c r="Q5" s="17">
        <f t="shared" si="2"/>
        <v>186.75269999999998</v>
      </c>
      <c r="R5" s="17"/>
      <c r="S5" s="17">
        <f t="shared" si="3"/>
        <v>186.75269999999998</v>
      </c>
      <c r="T5" s="16">
        <f t="shared" si="4"/>
        <v>2261.7826999999997</v>
      </c>
      <c r="U5" s="18" t="s">
        <v>8</v>
      </c>
      <c r="V5" s="17">
        <f>+P5*13.02%</f>
        <v>270.16890599999994</v>
      </c>
    </row>
    <row r="6" spans="1:22" ht="14.25">
      <c r="A6" s="12">
        <v>2</v>
      </c>
      <c r="B6" s="13" t="s">
        <v>0</v>
      </c>
      <c r="C6" s="14">
        <v>57</v>
      </c>
      <c r="D6" s="15">
        <v>5</v>
      </c>
      <c r="E6" s="16">
        <v>1748</v>
      </c>
      <c r="F6" s="17">
        <v>75</v>
      </c>
      <c r="G6" s="17">
        <v>300</v>
      </c>
      <c r="H6" s="17">
        <v>47.26</v>
      </c>
      <c r="I6" s="17">
        <v>15.28</v>
      </c>
      <c r="J6" s="17"/>
      <c r="K6" s="17">
        <v>1885.54</v>
      </c>
      <c r="L6" s="17"/>
      <c r="M6" s="17"/>
      <c r="N6" s="17"/>
      <c r="O6" s="16">
        <f t="shared" si="0"/>
        <v>4071.0800000000004</v>
      </c>
      <c r="P6" s="16">
        <f t="shared" si="1"/>
        <v>4071.0800000000004</v>
      </c>
      <c r="Q6" s="17">
        <f t="shared" si="2"/>
        <v>366.3972</v>
      </c>
      <c r="R6" s="17"/>
      <c r="S6" s="17">
        <f t="shared" si="3"/>
        <v>366.3972</v>
      </c>
      <c r="T6" s="16">
        <f t="shared" si="4"/>
        <v>4437.4772</v>
      </c>
      <c r="U6" s="18" t="s">
        <v>6</v>
      </c>
      <c r="V6" s="17">
        <f>+P6*12.88%</f>
        <v>524.3551040000001</v>
      </c>
    </row>
    <row r="7" spans="1:22" ht="14.25">
      <c r="A7" s="12">
        <v>3</v>
      </c>
      <c r="B7" s="13" t="s">
        <v>19</v>
      </c>
      <c r="C7" s="14">
        <v>38</v>
      </c>
      <c r="D7" s="15">
        <v>5</v>
      </c>
      <c r="E7" s="16">
        <v>1727</v>
      </c>
      <c r="F7" s="17">
        <f>75+64+120.14+120.13+60.07</f>
        <v>439.34</v>
      </c>
      <c r="G7" s="17">
        <v>150</v>
      </c>
      <c r="H7" s="17"/>
      <c r="I7" s="17"/>
      <c r="J7" s="17"/>
      <c r="K7" s="17"/>
      <c r="L7" s="17"/>
      <c r="M7" s="17"/>
      <c r="N7" s="17"/>
      <c r="O7" s="16">
        <f t="shared" si="0"/>
        <v>2316.34</v>
      </c>
      <c r="P7" s="16">
        <f t="shared" si="1"/>
        <v>2316.34</v>
      </c>
      <c r="Q7" s="17">
        <f t="shared" si="2"/>
        <v>208.47060000000002</v>
      </c>
      <c r="R7" s="17"/>
      <c r="S7" s="17">
        <f t="shared" si="3"/>
        <v>208.47060000000002</v>
      </c>
      <c r="T7" s="16">
        <f t="shared" si="4"/>
        <v>2524.8106000000002</v>
      </c>
      <c r="U7" s="18" t="s">
        <v>6</v>
      </c>
      <c r="V7" s="17">
        <f>+P7*12.88%</f>
        <v>298.34459200000003</v>
      </c>
    </row>
    <row r="8" spans="1:22" ht="15" thickBot="1">
      <c r="A8" s="45">
        <v>3</v>
      </c>
      <c r="B8" s="46" t="s">
        <v>2</v>
      </c>
      <c r="C8" s="47">
        <v>64</v>
      </c>
      <c r="D8" s="48">
        <v>5</v>
      </c>
      <c r="E8" s="49">
        <v>1782</v>
      </c>
      <c r="F8" s="50">
        <f>75+92</f>
        <v>167</v>
      </c>
      <c r="G8" s="50">
        <v>300</v>
      </c>
      <c r="H8" s="50">
        <v>50.33</v>
      </c>
      <c r="I8" s="50">
        <v>16.27</v>
      </c>
      <c r="J8" s="50"/>
      <c r="K8" s="50"/>
      <c r="L8" s="50"/>
      <c r="M8" s="50">
        <v>11.5</v>
      </c>
      <c r="N8" s="50"/>
      <c r="O8" s="16">
        <f t="shared" si="0"/>
        <v>2327.1</v>
      </c>
      <c r="P8" s="16">
        <f t="shared" si="1"/>
        <v>2315.6</v>
      </c>
      <c r="Q8" s="17">
        <f t="shared" si="2"/>
        <v>208.404</v>
      </c>
      <c r="R8" s="17"/>
      <c r="S8" s="17">
        <f t="shared" si="3"/>
        <v>208.404</v>
      </c>
      <c r="T8" s="16">
        <f t="shared" si="4"/>
        <v>2524.004</v>
      </c>
      <c r="U8" s="18" t="s">
        <v>6</v>
      </c>
      <c r="V8" s="17">
        <f>+P8*12.88%</f>
        <v>298.24928</v>
      </c>
    </row>
    <row r="9" spans="1:22" ht="14.25">
      <c r="A9" s="19">
        <v>1</v>
      </c>
      <c r="B9" s="20" t="s">
        <v>26</v>
      </c>
      <c r="C9" s="21"/>
      <c r="D9" s="22"/>
      <c r="E9" s="23"/>
      <c r="F9" s="24"/>
      <c r="G9" s="24"/>
      <c r="H9" s="24"/>
      <c r="I9" s="24"/>
      <c r="J9" s="24"/>
      <c r="K9" s="24"/>
      <c r="L9" s="24"/>
      <c r="M9" s="24"/>
      <c r="N9" s="24"/>
      <c r="O9" s="16"/>
      <c r="P9" s="16"/>
      <c r="Q9" s="17"/>
      <c r="R9" s="17"/>
      <c r="S9" s="17"/>
      <c r="T9" s="16"/>
      <c r="U9" s="18"/>
      <c r="V9" s="17"/>
    </row>
    <row r="10" spans="1:22" ht="14.25">
      <c r="A10" s="19">
        <v>1</v>
      </c>
      <c r="B10" s="20" t="s">
        <v>20</v>
      </c>
      <c r="C10" s="21"/>
      <c r="D10" s="22"/>
      <c r="E10" s="23">
        <v>1000</v>
      </c>
      <c r="F10" s="24">
        <v>75</v>
      </c>
      <c r="G10" s="24"/>
      <c r="H10" s="24"/>
      <c r="I10" s="24"/>
      <c r="J10" s="24"/>
      <c r="K10" s="24"/>
      <c r="L10" s="24"/>
      <c r="M10" s="24"/>
      <c r="N10" s="24"/>
      <c r="O10" s="16">
        <f>SUM(E10:N10)</f>
        <v>1075</v>
      </c>
      <c r="P10" s="16">
        <f>O10-M10-J10</f>
        <v>1075</v>
      </c>
      <c r="Q10" s="17">
        <f>P10*9%</f>
        <v>96.75</v>
      </c>
      <c r="R10" s="17"/>
      <c r="S10" s="17">
        <f>Q10+R10</f>
        <v>96.75</v>
      </c>
      <c r="T10" s="16">
        <f>P10+S10</f>
        <v>1171.75</v>
      </c>
      <c r="U10" s="18" t="s">
        <v>10</v>
      </c>
      <c r="V10" s="17">
        <f>+P10*13%</f>
        <v>139.75</v>
      </c>
    </row>
    <row r="11" spans="1:22" ht="15" thickBot="1">
      <c r="A11" s="45">
        <v>2</v>
      </c>
      <c r="B11" s="46" t="s">
        <v>15</v>
      </c>
      <c r="C11" s="47"/>
      <c r="D11" s="48">
        <v>5</v>
      </c>
      <c r="E11" s="49">
        <v>1000</v>
      </c>
      <c r="F11" s="50">
        <f>75+150</f>
        <v>225</v>
      </c>
      <c r="G11" s="50"/>
      <c r="H11" s="50"/>
      <c r="I11" s="50"/>
      <c r="J11" s="50"/>
      <c r="K11" s="50"/>
      <c r="L11" s="50"/>
      <c r="M11" s="50"/>
      <c r="N11" s="50"/>
      <c r="O11" s="16">
        <f>SUM(E11:N11)</f>
        <v>1225</v>
      </c>
      <c r="P11" s="16">
        <f>O11-M11-J11</f>
        <v>1225</v>
      </c>
      <c r="Q11" s="17">
        <f>P11*9%</f>
        <v>110.25</v>
      </c>
      <c r="R11" s="17"/>
      <c r="S11" s="17">
        <f>Q11+R11</f>
        <v>110.25</v>
      </c>
      <c r="T11" s="16">
        <f>P11+S11</f>
        <v>1335.25</v>
      </c>
      <c r="U11" s="18" t="s">
        <v>10</v>
      </c>
      <c r="V11" s="17">
        <f>+P11*13%</f>
        <v>159.25</v>
      </c>
    </row>
    <row r="12" spans="1:22" ht="14.25">
      <c r="A12" s="19">
        <v>1</v>
      </c>
      <c r="B12" s="20" t="s">
        <v>12</v>
      </c>
      <c r="C12" s="21"/>
      <c r="D12" s="22"/>
      <c r="E12" s="23">
        <v>750</v>
      </c>
      <c r="F12" s="24">
        <f>75+96</f>
        <v>171</v>
      </c>
      <c r="G12" s="24"/>
      <c r="H12" s="24"/>
      <c r="I12" s="24"/>
      <c r="J12" s="24"/>
      <c r="K12" s="24"/>
      <c r="L12" s="24"/>
      <c r="M12" s="24">
        <v>3.2</v>
      </c>
      <c r="N12" s="24"/>
      <c r="O12" s="16">
        <f>SUM(E12:N12)</f>
        <v>924.2</v>
      </c>
      <c r="P12" s="16">
        <f>O12-M12-J12</f>
        <v>921</v>
      </c>
      <c r="Q12" s="17">
        <f>P12*9%</f>
        <v>82.89</v>
      </c>
      <c r="R12" s="17"/>
      <c r="S12" s="17">
        <f>Q12+R12</f>
        <v>82.89</v>
      </c>
      <c r="T12" s="16">
        <f>P12+S12</f>
        <v>1003.89</v>
      </c>
      <c r="U12" s="18" t="s">
        <v>10</v>
      </c>
      <c r="V12" s="17">
        <f>+P12*13%</f>
        <v>119.73</v>
      </c>
    </row>
    <row r="13" spans="1:22" ht="14.25">
      <c r="A13" s="25">
        <v>2</v>
      </c>
      <c r="B13" s="26" t="s">
        <v>11</v>
      </c>
      <c r="C13" s="27"/>
      <c r="D13" s="28">
        <v>5</v>
      </c>
      <c r="E13" s="29">
        <v>880</v>
      </c>
      <c r="F13" s="30">
        <f>88+117.32+88+58.67</f>
        <v>351.99</v>
      </c>
      <c r="G13" s="30"/>
      <c r="H13" s="30"/>
      <c r="I13" s="30"/>
      <c r="J13" s="30"/>
      <c r="K13" s="30"/>
      <c r="L13" s="30"/>
      <c r="M13" s="30">
        <v>92</v>
      </c>
      <c r="N13" s="30"/>
      <c r="O13" s="29">
        <f>SUM(E13:N13)</f>
        <v>1323.99</v>
      </c>
      <c r="P13" s="29">
        <f>O13-M13-J13</f>
        <v>1231.99</v>
      </c>
      <c r="Q13" s="30">
        <f>P13*9%</f>
        <v>110.8791</v>
      </c>
      <c r="R13" s="30"/>
      <c r="S13" s="30">
        <f>Q13+R13</f>
        <v>110.8791</v>
      </c>
      <c r="T13" s="29">
        <f>P13+S13</f>
        <v>1342.8691</v>
      </c>
      <c r="U13" s="31" t="s">
        <v>8</v>
      </c>
      <c r="V13" s="30">
        <f>+P13*13.02%</f>
        <v>160.40509799999998</v>
      </c>
    </row>
    <row r="14" spans="1:22" ht="13.5">
      <c r="A14" s="19">
        <v>3</v>
      </c>
      <c r="B14" s="20" t="s">
        <v>13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75"/>
      <c r="P14" s="75"/>
      <c r="Q14" s="75"/>
      <c r="R14" s="69"/>
      <c r="S14" s="75"/>
      <c r="T14" s="75"/>
      <c r="U14" s="69"/>
      <c r="V14" s="73"/>
    </row>
    <row r="15" spans="1:22" ht="14.25">
      <c r="A15" s="19">
        <v>3</v>
      </c>
      <c r="B15" s="20" t="s">
        <v>14</v>
      </c>
      <c r="C15" s="68"/>
      <c r="D15" s="70"/>
      <c r="E15" s="71">
        <v>750</v>
      </c>
      <c r="F15" s="72">
        <f>75+96</f>
        <v>171</v>
      </c>
      <c r="G15" s="72"/>
      <c r="H15" s="72"/>
      <c r="I15" s="72"/>
      <c r="J15" s="72"/>
      <c r="K15" s="72"/>
      <c r="L15" s="72"/>
      <c r="M15" s="72"/>
      <c r="N15" s="72"/>
      <c r="O15" s="71">
        <f>SUM(E15:N15)</f>
        <v>921</v>
      </c>
      <c r="P15" s="71">
        <f>O15-M15-J15</f>
        <v>921</v>
      </c>
      <c r="Q15" s="72">
        <f>P15*9%</f>
        <v>82.89</v>
      </c>
      <c r="R15" s="72"/>
      <c r="S15" s="72">
        <f>Q15+R15</f>
        <v>82.89</v>
      </c>
      <c r="T15" s="71">
        <f>P15+S15</f>
        <v>1003.89</v>
      </c>
      <c r="U15" s="74" t="s">
        <v>10</v>
      </c>
      <c r="V15" s="72">
        <f>+P15*13%</f>
        <v>119.73</v>
      </c>
    </row>
  </sheetData>
  <sheetProtection/>
  <printOptions/>
  <pageMargins left="0.42" right="0.15748031496062992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A9" sqref="A9:B9"/>
    </sheetView>
  </sheetViews>
  <sheetFormatPr defaultColWidth="11.421875" defaultRowHeight="12.75"/>
  <cols>
    <col min="1" max="1" width="3.8515625" style="0" customWidth="1"/>
    <col min="2" max="2" width="24.00390625" style="0" customWidth="1"/>
    <col min="3" max="3" width="3.7109375" style="0" customWidth="1"/>
    <col min="4" max="4" width="3.8515625" style="0" customWidth="1"/>
    <col min="5" max="5" width="9.421875" style="0" customWidth="1"/>
    <col min="6" max="7" width="8.140625" style="0" customWidth="1"/>
    <col min="8" max="9" width="5.8515625" style="0" customWidth="1"/>
    <col min="10" max="10" width="5.140625" style="0" customWidth="1"/>
    <col min="11" max="11" width="8.28125" style="0" customWidth="1"/>
    <col min="12" max="12" width="5.57421875" style="0" customWidth="1"/>
    <col min="13" max="13" width="6.421875" style="0" customWidth="1"/>
    <col min="14" max="14" width="5.140625" style="0" customWidth="1"/>
    <col min="15" max="15" width="9.421875" style="0" customWidth="1"/>
    <col min="16" max="16" width="9.28125" style="0" customWidth="1"/>
    <col min="17" max="17" width="8.140625" style="0" customWidth="1"/>
    <col min="18" max="18" width="4.421875" style="0" customWidth="1"/>
    <col min="19" max="19" width="8.28125" style="0" customWidth="1"/>
    <col min="20" max="20" width="9.28125" style="0" customWidth="1"/>
    <col min="21" max="21" width="6.7109375" style="0" customWidth="1"/>
    <col min="22" max="22" width="8.28125" style="0" customWidth="1"/>
  </cols>
  <sheetData>
    <row r="1" spans="1:22" ht="15" thickBot="1">
      <c r="A1" s="45">
        <v>1</v>
      </c>
      <c r="B1" s="46" t="s">
        <v>23</v>
      </c>
      <c r="C1" s="47">
        <v>49</v>
      </c>
      <c r="D1" s="48">
        <v>5</v>
      </c>
      <c r="E1" s="49">
        <v>2500</v>
      </c>
      <c r="F1" s="50"/>
      <c r="G1" s="50"/>
      <c r="H1" s="50"/>
      <c r="I1" s="50"/>
      <c r="J1" s="50"/>
      <c r="K1" s="50"/>
      <c r="L1" s="50"/>
      <c r="M1" s="50"/>
      <c r="N1" s="50"/>
      <c r="O1" s="16">
        <f aca="true" t="shared" si="0" ref="O1:O8">SUM(E1:N1)</f>
        <v>2500</v>
      </c>
      <c r="P1" s="16">
        <f aca="true" t="shared" si="1" ref="P1:P8">O1-M1-J1</f>
        <v>2500</v>
      </c>
      <c r="Q1" s="17">
        <f aca="true" t="shared" si="2" ref="Q1:Q8">P1*9%</f>
        <v>225</v>
      </c>
      <c r="R1" s="17"/>
      <c r="S1" s="17">
        <f aca="true" t="shared" si="3" ref="S1:S8">Q1+R1</f>
        <v>225</v>
      </c>
      <c r="T1" s="16">
        <f aca="true" t="shared" si="4" ref="T1:T8">P1+S1</f>
        <v>2725</v>
      </c>
      <c r="U1" s="18" t="s">
        <v>8</v>
      </c>
      <c r="V1" s="17">
        <f>+P1*13.02%</f>
        <v>325.49999999999994</v>
      </c>
    </row>
    <row r="2" spans="1:22" ht="15" thickBot="1">
      <c r="A2" s="51">
        <v>1</v>
      </c>
      <c r="B2" s="52" t="s">
        <v>1</v>
      </c>
      <c r="C2" s="53">
        <v>60</v>
      </c>
      <c r="D2" s="54">
        <v>5</v>
      </c>
      <c r="E2" s="55">
        <v>1789</v>
      </c>
      <c r="F2" s="56">
        <f>75+88+124.27+188.08+62.69</f>
        <v>538.04</v>
      </c>
      <c r="G2" s="56">
        <v>300</v>
      </c>
      <c r="H2" s="56"/>
      <c r="I2" s="56">
        <v>16.76</v>
      </c>
      <c r="J2" s="56"/>
      <c r="K2" s="56"/>
      <c r="L2" s="56"/>
      <c r="M2" s="56">
        <v>80.5</v>
      </c>
      <c r="N2" s="56"/>
      <c r="O2" s="16">
        <f t="shared" si="0"/>
        <v>2724.3</v>
      </c>
      <c r="P2" s="16">
        <f t="shared" si="1"/>
        <v>2643.8</v>
      </c>
      <c r="Q2" s="17">
        <f t="shared" si="2"/>
        <v>237.942</v>
      </c>
      <c r="R2" s="17"/>
      <c r="S2" s="17">
        <f t="shared" si="3"/>
        <v>237.942</v>
      </c>
      <c r="T2" s="16">
        <f t="shared" si="4"/>
        <v>2881.742</v>
      </c>
      <c r="U2" s="18" t="s">
        <v>6</v>
      </c>
      <c r="V2" s="17">
        <f>+P2*12.88%</f>
        <v>340.52144000000004</v>
      </c>
    </row>
    <row r="3" spans="1:22" ht="14.25">
      <c r="A3" s="19">
        <v>1</v>
      </c>
      <c r="B3" s="20" t="s">
        <v>4</v>
      </c>
      <c r="C3" s="21">
        <v>29</v>
      </c>
      <c r="D3" s="22"/>
      <c r="E3" s="23">
        <v>1666</v>
      </c>
      <c r="F3" s="24">
        <v>84</v>
      </c>
      <c r="G3" s="24">
        <v>250</v>
      </c>
      <c r="H3" s="24"/>
      <c r="I3" s="24"/>
      <c r="J3" s="24"/>
      <c r="K3" s="24"/>
      <c r="L3" s="24"/>
      <c r="M3" s="24">
        <v>92.8</v>
      </c>
      <c r="N3" s="24"/>
      <c r="O3" s="16">
        <f t="shared" si="0"/>
        <v>2092.8</v>
      </c>
      <c r="P3" s="16">
        <f t="shared" si="1"/>
        <v>2000.0000000000002</v>
      </c>
      <c r="Q3" s="17">
        <f t="shared" si="2"/>
        <v>180</v>
      </c>
      <c r="R3" s="17"/>
      <c r="S3" s="17">
        <f t="shared" si="3"/>
        <v>180</v>
      </c>
      <c r="T3" s="16">
        <f t="shared" si="4"/>
        <v>2180</v>
      </c>
      <c r="U3" s="18" t="s">
        <v>8</v>
      </c>
      <c r="V3" s="17">
        <f>+P3*13.02%</f>
        <v>260.4</v>
      </c>
    </row>
    <row r="4" spans="1:22" ht="14.25">
      <c r="A4" s="12">
        <v>1</v>
      </c>
      <c r="B4" s="13" t="s">
        <v>18</v>
      </c>
      <c r="C4" s="14">
        <v>31</v>
      </c>
      <c r="D4" s="15">
        <v>5</v>
      </c>
      <c r="E4" s="16">
        <v>1782</v>
      </c>
      <c r="F4" s="17"/>
      <c r="G4" s="17">
        <v>300</v>
      </c>
      <c r="H4" s="17"/>
      <c r="I4" s="17">
        <v>22.84</v>
      </c>
      <c r="J4" s="17"/>
      <c r="K4" s="17">
        <v>1804.84</v>
      </c>
      <c r="L4" s="17"/>
      <c r="M4" s="17"/>
      <c r="N4" s="17"/>
      <c r="O4" s="16">
        <f t="shared" si="0"/>
        <v>3909.6800000000003</v>
      </c>
      <c r="P4" s="16">
        <f t="shared" si="1"/>
        <v>3909.6800000000003</v>
      </c>
      <c r="Q4" s="17">
        <f t="shared" si="2"/>
        <v>351.8712</v>
      </c>
      <c r="R4" s="17"/>
      <c r="S4" s="17">
        <f t="shared" si="3"/>
        <v>351.8712</v>
      </c>
      <c r="T4" s="16">
        <f t="shared" si="4"/>
        <v>4261.5512</v>
      </c>
      <c r="U4" s="18" t="s">
        <v>8</v>
      </c>
      <c r="V4" s="17"/>
    </row>
    <row r="5" spans="1:22" ht="14.25">
      <c r="A5" s="12">
        <v>2</v>
      </c>
      <c r="B5" s="13" t="s">
        <v>5</v>
      </c>
      <c r="C5" s="14">
        <v>24</v>
      </c>
      <c r="D5" s="15"/>
      <c r="E5" s="16">
        <v>1666</v>
      </c>
      <c r="F5" s="17">
        <f>75+96</f>
        <v>171</v>
      </c>
      <c r="G5" s="17">
        <v>200</v>
      </c>
      <c r="H5" s="17"/>
      <c r="I5" s="17"/>
      <c r="J5" s="17"/>
      <c r="K5" s="17"/>
      <c r="L5" s="17"/>
      <c r="M5" s="17">
        <v>11.5</v>
      </c>
      <c r="N5" s="17"/>
      <c r="O5" s="16">
        <f t="shared" si="0"/>
        <v>2048.5</v>
      </c>
      <c r="P5" s="16">
        <f t="shared" si="1"/>
        <v>2037</v>
      </c>
      <c r="Q5" s="17">
        <f t="shared" si="2"/>
        <v>183.32999999999998</v>
      </c>
      <c r="R5" s="17"/>
      <c r="S5" s="17">
        <f t="shared" si="3"/>
        <v>183.32999999999998</v>
      </c>
      <c r="T5" s="16">
        <f t="shared" si="4"/>
        <v>2220.33</v>
      </c>
      <c r="U5" s="18" t="s">
        <v>8</v>
      </c>
      <c r="V5" s="17">
        <f>+P5*13.02%</f>
        <v>265.21739999999994</v>
      </c>
    </row>
    <row r="6" spans="1:22" ht="14.25">
      <c r="A6" s="12">
        <v>2</v>
      </c>
      <c r="B6" s="13" t="s">
        <v>0</v>
      </c>
      <c r="C6" s="14">
        <v>73</v>
      </c>
      <c r="D6" s="15">
        <v>5</v>
      </c>
      <c r="E6" s="16">
        <v>1748</v>
      </c>
      <c r="F6" s="17">
        <f>75+4+92+251.4+75+188.55+125.7</f>
        <v>811.6500000000001</v>
      </c>
      <c r="G6" s="17">
        <v>300</v>
      </c>
      <c r="H6" s="17">
        <v>47.26</v>
      </c>
      <c r="I6" s="17">
        <v>15.28</v>
      </c>
      <c r="J6" s="17"/>
      <c r="K6" s="17"/>
      <c r="L6" s="17"/>
      <c r="M6" s="17">
        <f>11.5+92</f>
        <v>103.5</v>
      </c>
      <c r="N6" s="17"/>
      <c r="O6" s="16">
        <f t="shared" si="0"/>
        <v>3025.6900000000005</v>
      </c>
      <c r="P6" s="16">
        <f t="shared" si="1"/>
        <v>2922.1900000000005</v>
      </c>
      <c r="Q6" s="17">
        <f t="shared" si="2"/>
        <v>262.99710000000005</v>
      </c>
      <c r="R6" s="17"/>
      <c r="S6" s="17">
        <f t="shared" si="3"/>
        <v>262.99710000000005</v>
      </c>
      <c r="T6" s="16">
        <f t="shared" si="4"/>
        <v>3185.1871000000006</v>
      </c>
      <c r="U6" s="18" t="s">
        <v>6</v>
      </c>
      <c r="V6" s="17">
        <f>+P6*12.88%</f>
        <v>376.37807200000003</v>
      </c>
    </row>
    <row r="7" spans="1:22" ht="14.25">
      <c r="A7" s="12">
        <v>3</v>
      </c>
      <c r="B7" s="13" t="s">
        <v>19</v>
      </c>
      <c r="C7" s="14">
        <v>38</v>
      </c>
      <c r="D7" s="15">
        <v>5</v>
      </c>
      <c r="E7" s="16">
        <v>1727</v>
      </c>
      <c r="F7" s="17">
        <f>75+84+180.2</f>
        <v>339.2</v>
      </c>
      <c r="G7" s="17">
        <v>9.25</v>
      </c>
      <c r="H7" s="17"/>
      <c r="I7" s="17"/>
      <c r="J7" s="17"/>
      <c r="K7" s="17"/>
      <c r="L7" s="17"/>
      <c r="M7" s="17">
        <v>92</v>
      </c>
      <c r="N7" s="17"/>
      <c r="O7" s="16">
        <f t="shared" si="0"/>
        <v>2167.45</v>
      </c>
      <c r="P7" s="16">
        <f t="shared" si="1"/>
        <v>2075.45</v>
      </c>
      <c r="Q7" s="17">
        <f t="shared" si="2"/>
        <v>186.79049999999998</v>
      </c>
      <c r="R7" s="17"/>
      <c r="S7" s="17">
        <f t="shared" si="3"/>
        <v>186.79049999999998</v>
      </c>
      <c r="T7" s="16">
        <f t="shared" si="4"/>
        <v>2262.2405</v>
      </c>
      <c r="U7" s="18" t="s">
        <v>6</v>
      </c>
      <c r="V7" s="17">
        <f>+P7*12.88%</f>
        <v>267.31795999999997</v>
      </c>
    </row>
    <row r="8" spans="1:22" ht="15" thickBot="1">
      <c r="A8" s="45">
        <v>3</v>
      </c>
      <c r="B8" s="46" t="s">
        <v>2</v>
      </c>
      <c r="C8" s="47">
        <v>65</v>
      </c>
      <c r="D8" s="48">
        <v>5</v>
      </c>
      <c r="E8" s="49">
        <v>1782</v>
      </c>
      <c r="F8" s="50">
        <f>75+84+128.24+75+192.36+64.12</f>
        <v>618.72</v>
      </c>
      <c r="G8" s="50">
        <v>300</v>
      </c>
      <c r="H8" s="50">
        <v>50.33</v>
      </c>
      <c r="I8" s="50">
        <v>16.27</v>
      </c>
      <c r="J8" s="50"/>
      <c r="K8" s="50"/>
      <c r="L8" s="50"/>
      <c r="M8" s="50">
        <v>80.5</v>
      </c>
      <c r="N8" s="50"/>
      <c r="O8" s="16">
        <f t="shared" si="0"/>
        <v>2847.82</v>
      </c>
      <c r="P8" s="16">
        <f t="shared" si="1"/>
        <v>2767.32</v>
      </c>
      <c r="Q8" s="17">
        <f t="shared" si="2"/>
        <v>249.05880000000002</v>
      </c>
      <c r="R8" s="17"/>
      <c r="S8" s="17">
        <f t="shared" si="3"/>
        <v>249.05880000000002</v>
      </c>
      <c r="T8" s="16">
        <f t="shared" si="4"/>
        <v>3016.3788000000004</v>
      </c>
      <c r="U8" s="18" t="s">
        <v>6</v>
      </c>
      <c r="V8" s="17">
        <f>+P8*12.88%</f>
        <v>356.430816</v>
      </c>
    </row>
    <row r="9" spans="1:22" ht="14.25">
      <c r="A9" s="19">
        <v>1</v>
      </c>
      <c r="B9" s="20" t="s">
        <v>26</v>
      </c>
      <c r="C9" s="21"/>
      <c r="D9" s="22"/>
      <c r="E9" s="23"/>
      <c r="F9" s="24"/>
      <c r="G9" s="24"/>
      <c r="H9" s="24"/>
      <c r="I9" s="24"/>
      <c r="J9" s="24"/>
      <c r="K9" s="24"/>
      <c r="L9" s="24"/>
      <c r="M9" s="24"/>
      <c r="N9" s="24"/>
      <c r="O9" s="16"/>
      <c r="P9" s="16"/>
      <c r="Q9" s="17"/>
      <c r="R9" s="17"/>
      <c r="S9" s="17"/>
      <c r="T9" s="16"/>
      <c r="U9" s="18"/>
      <c r="V9" s="17"/>
    </row>
    <row r="10" spans="1:22" ht="14.25">
      <c r="A10" s="19">
        <v>1</v>
      </c>
      <c r="B10" s="20" t="s">
        <v>20</v>
      </c>
      <c r="C10" s="21"/>
      <c r="D10" s="22"/>
      <c r="E10" s="23">
        <v>1000</v>
      </c>
      <c r="F10" s="24">
        <v>75</v>
      </c>
      <c r="G10" s="24"/>
      <c r="H10" s="24"/>
      <c r="I10" s="24"/>
      <c r="J10" s="24"/>
      <c r="K10" s="24"/>
      <c r="L10" s="24"/>
      <c r="M10" s="24"/>
      <c r="N10" s="24"/>
      <c r="O10" s="16">
        <f>SUM(E10:N10)</f>
        <v>1075</v>
      </c>
      <c r="P10" s="16">
        <f>O10-M10-J10</f>
        <v>1075</v>
      </c>
      <c r="Q10" s="17">
        <f>P10*9%</f>
        <v>96.75</v>
      </c>
      <c r="R10" s="17"/>
      <c r="S10" s="17">
        <f>Q10+R10</f>
        <v>96.75</v>
      </c>
      <c r="T10" s="16">
        <f>P10+S10</f>
        <v>1171.75</v>
      </c>
      <c r="U10" s="18" t="s">
        <v>10</v>
      </c>
      <c r="V10" s="17">
        <f>+P10*13%</f>
        <v>139.75</v>
      </c>
    </row>
    <row r="11" spans="1:22" ht="15" thickBot="1">
      <c r="A11" s="45">
        <v>2</v>
      </c>
      <c r="B11" s="46" t="s">
        <v>15</v>
      </c>
      <c r="C11" s="47"/>
      <c r="D11" s="48">
        <v>5</v>
      </c>
      <c r="E11" s="49">
        <v>1000</v>
      </c>
      <c r="F11" s="50">
        <f>75+150</f>
        <v>225</v>
      </c>
      <c r="G11" s="50"/>
      <c r="H11" s="50"/>
      <c r="I11" s="50"/>
      <c r="J11" s="50"/>
      <c r="K11" s="50"/>
      <c r="L11" s="50"/>
      <c r="M11" s="50"/>
      <c r="N11" s="50"/>
      <c r="O11" s="16">
        <f>SUM(E11:N11)</f>
        <v>1225</v>
      </c>
      <c r="P11" s="16">
        <f>O11-M11-J11</f>
        <v>1225</v>
      </c>
      <c r="Q11" s="17">
        <f>P11*9%</f>
        <v>110.25</v>
      </c>
      <c r="R11" s="17"/>
      <c r="S11" s="17">
        <f>Q11+R11</f>
        <v>110.25</v>
      </c>
      <c r="T11" s="16">
        <f>P11+S11</f>
        <v>1335.25</v>
      </c>
      <c r="U11" s="18" t="s">
        <v>10</v>
      </c>
      <c r="V11" s="17">
        <f>+P11*13%</f>
        <v>159.25</v>
      </c>
    </row>
    <row r="12" spans="1:22" ht="14.25">
      <c r="A12" s="19">
        <v>1</v>
      </c>
      <c r="B12" s="20" t="s">
        <v>12</v>
      </c>
      <c r="C12" s="21"/>
      <c r="D12" s="22"/>
      <c r="E12" s="23">
        <v>750</v>
      </c>
      <c r="F12" s="24">
        <f>75+72</f>
        <v>147</v>
      </c>
      <c r="G12" s="24"/>
      <c r="H12" s="24"/>
      <c r="I12" s="24"/>
      <c r="J12" s="24"/>
      <c r="K12" s="24"/>
      <c r="L12" s="24"/>
      <c r="M12" s="24">
        <v>6.4</v>
      </c>
      <c r="N12" s="24"/>
      <c r="O12" s="16">
        <f>SUM(E12:N12)</f>
        <v>903.4</v>
      </c>
      <c r="P12" s="16">
        <f>O12-M12-J12</f>
        <v>897</v>
      </c>
      <c r="Q12" s="17">
        <f>P12*9%</f>
        <v>80.73</v>
      </c>
      <c r="R12" s="17"/>
      <c r="S12" s="17">
        <f>Q12+R12</f>
        <v>80.73</v>
      </c>
      <c r="T12" s="16">
        <f>P12+S12</f>
        <v>977.73</v>
      </c>
      <c r="U12" s="18" t="s">
        <v>10</v>
      </c>
      <c r="V12" s="17">
        <f>+P12*13%</f>
        <v>116.61</v>
      </c>
    </row>
    <row r="13" spans="1:22" ht="14.25">
      <c r="A13" s="25">
        <v>2</v>
      </c>
      <c r="B13" s="26" t="s">
        <v>11</v>
      </c>
      <c r="C13" s="27"/>
      <c r="D13" s="28">
        <v>5</v>
      </c>
      <c r="E13" s="29">
        <v>880</v>
      </c>
      <c r="F13" s="30">
        <f>76+58.67+88+29.33</f>
        <v>252</v>
      </c>
      <c r="G13" s="30"/>
      <c r="H13" s="30"/>
      <c r="I13" s="30"/>
      <c r="J13" s="30"/>
      <c r="K13" s="30"/>
      <c r="L13" s="30"/>
      <c r="M13" s="30">
        <v>80.5</v>
      </c>
      <c r="N13" s="30"/>
      <c r="O13" s="29">
        <f>SUM(E13:N13)</f>
        <v>1212.5</v>
      </c>
      <c r="P13" s="29">
        <f>O13-M13-J13</f>
        <v>1132</v>
      </c>
      <c r="Q13" s="30">
        <f>P13*9%</f>
        <v>101.88</v>
      </c>
      <c r="R13" s="30"/>
      <c r="S13" s="30">
        <f>Q13+R13</f>
        <v>101.88</v>
      </c>
      <c r="T13" s="29">
        <f>P13+S13</f>
        <v>1233.88</v>
      </c>
      <c r="U13" s="31" t="s">
        <v>8</v>
      </c>
      <c r="V13" s="30">
        <f>+P13*13.02%</f>
        <v>147.38639999999998</v>
      </c>
    </row>
    <row r="14" spans="1:22" ht="13.5">
      <c r="A14" s="19">
        <v>3</v>
      </c>
      <c r="B14" s="20" t="s">
        <v>13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75"/>
      <c r="P14" s="75"/>
      <c r="Q14" s="75"/>
      <c r="R14" s="69"/>
      <c r="S14" s="75"/>
      <c r="T14" s="75"/>
      <c r="U14" s="69"/>
      <c r="V14" s="73"/>
    </row>
    <row r="15" spans="1:22" ht="14.25">
      <c r="A15" s="19">
        <v>3</v>
      </c>
      <c r="B15" s="20" t="s">
        <v>14</v>
      </c>
      <c r="C15" s="68"/>
      <c r="D15" s="70"/>
      <c r="E15" s="71">
        <v>750</v>
      </c>
      <c r="F15" s="72">
        <f>75+76</f>
        <v>151</v>
      </c>
      <c r="G15" s="72"/>
      <c r="H15" s="72"/>
      <c r="I15" s="72"/>
      <c r="J15" s="72"/>
      <c r="K15" s="72"/>
      <c r="L15" s="72"/>
      <c r="M15" s="72"/>
      <c r="N15" s="72"/>
      <c r="O15" s="71">
        <f>SUM(E15:N15)</f>
        <v>901</v>
      </c>
      <c r="P15" s="71">
        <f>O15-M15-J15</f>
        <v>901</v>
      </c>
      <c r="Q15" s="72">
        <f>P15*9%</f>
        <v>81.09</v>
      </c>
      <c r="R15" s="72"/>
      <c r="S15" s="72">
        <f>Q15+R15</f>
        <v>81.09</v>
      </c>
      <c r="T15" s="71">
        <f>P15+S15</f>
        <v>982.09</v>
      </c>
      <c r="U15" s="74" t="s">
        <v>10</v>
      </c>
      <c r="V15" s="72">
        <f>+P15*13%</f>
        <v>117.13000000000001</v>
      </c>
    </row>
  </sheetData>
  <sheetProtection/>
  <printOptions/>
  <pageMargins left="0.31" right="0.15748031496062992" top="0.31496062992125984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 AUTORIZADA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 AUTORIZADA</dc:creator>
  <cp:keywords/>
  <dc:description/>
  <cp:lastModifiedBy>windows</cp:lastModifiedBy>
  <cp:lastPrinted>2016-04-13T18:40:53Z</cp:lastPrinted>
  <dcterms:created xsi:type="dcterms:W3CDTF">2003-10-06T14:54:59Z</dcterms:created>
  <dcterms:modified xsi:type="dcterms:W3CDTF">2016-06-04T23:02:19Z</dcterms:modified>
  <cp:category/>
  <cp:version/>
  <cp:contentType/>
  <cp:contentStatus/>
</cp:coreProperties>
</file>